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130" yWindow="210" windowWidth="12360" windowHeight="7935" activeTab="1"/>
  </bookViews>
  <sheets>
    <sheet name="Colofon" sheetId="9" r:id="rId1"/>
    <sheet name="Input_Output" sheetId="14" r:id="rId2"/>
    <sheet name="CFpower" sheetId="15" r:id="rId3"/>
    <sheet name="CFheat" sheetId="16" r:id="rId4"/>
  </sheets>
  <definedNames>
    <definedName name="capex_power">Input_Output!$D$32</definedName>
    <definedName name="capex_subsurface">Input_Output!$D$16</definedName>
    <definedName name="coheat_feedin">Input_Output!$D$47</definedName>
    <definedName name="coheatloadhours">Input_Output!$D$39</definedName>
    <definedName name="cop">Input_Output!$D$18</definedName>
    <definedName name="Cprock">Input_Output!$K$7</definedName>
    <definedName name="Cpwater">Input_Output!$K$4</definedName>
    <definedName name="debt_share">Input_Output!$D$58</definedName>
    <definedName name="depreciation_time">Input_Output!$D$62</definedName>
    <definedName name="depth">Input_Output!$D$6</definedName>
    <definedName name="DistanceToGrid">Input_Output!$D$29</definedName>
    <definedName name="DrillCosts">Input_Output!$D$12</definedName>
    <definedName name="Efficiency">Input_Output!$K$12</definedName>
    <definedName name="efficiencydirectheat">Input_Output!$K$17</definedName>
    <definedName name="electricity_buy">Input_Output!$D$19</definedName>
    <definedName name="equity_return">Input_Output!$D$56</definedName>
    <definedName name="equity_share">Input_Output!$D$57</definedName>
    <definedName name="fiscal_benefit">Input_Output!$D$52</definedName>
    <definedName name="fiscal_stimulus">Input_Output!$D$49</definedName>
    <definedName name="fixedOMrate">Input_Output!$D$33</definedName>
    <definedName name="flowrate">Input_Output!$D$5</definedName>
    <definedName name="GridConVar">Input_Output!$D$31</definedName>
    <definedName name="GridInvest">Input_Output!$D$30</definedName>
    <definedName name="heat_capex">Input_Output!$D$41</definedName>
    <definedName name="heat_mwth">Input_Output!$D$38</definedName>
    <definedName name="heat_OMfixed">Input_Output!$D$43</definedName>
    <definedName name="heat_OMvar">Input_Output!$D$44</definedName>
    <definedName name="heat_power">Input_Output!$B$38</definedName>
    <definedName name="inflation">Input_Output!$D$54</definedName>
    <definedName name="lifetime">Input_Output!$D$9</definedName>
    <definedName name="loan_rate">Input_Output!$D$55</definedName>
    <definedName name="nrofwells">Input_Output!$D$15</definedName>
    <definedName name="ooperation_choice">Input_Output!$G$2</definedName>
    <definedName name="PlantInvest">Input_Output!$D$28</definedName>
    <definedName name="Power">Input_Output!$D$26</definedName>
    <definedName name="power_feedin">Input_Output!$D$46</definedName>
    <definedName name="power_loadhours">Input_Output!$D$27</definedName>
    <definedName name="power_OMfixed">Input_Output!$D$34</definedName>
    <definedName name="power_OMvar">Input_Output!$D$35</definedName>
    <definedName name="_xlnm.Print_Area" localSheetId="1">Input_Output!$B$1:$H$68</definedName>
    <definedName name="_xlnm.Print_Titles" localSheetId="2">CFpower!$A:$D</definedName>
    <definedName name="pumpcost2">Input_Output!$D$14</definedName>
    <definedName name="pumps">Input_Output!$D$15</definedName>
    <definedName name="Rhorock">Input_Output!$K$8</definedName>
    <definedName name="Rhowater">Input_Output!$K$5</definedName>
    <definedName name="StimCosts">Input_Output!$D$13</definedName>
    <definedName name="stimulus_max">Input_Output!$D$51</definedName>
    <definedName name="stimulus_perc">Input_Output!$D$50</definedName>
    <definedName name="tax">Input_Output!$D$59</definedName>
    <definedName name="Tbase">Input_Output!$K$14</definedName>
    <definedName name="term_loan">Input_Output!$D$61</definedName>
    <definedName name="thermalpower_power">Input_Output!$D$25</definedName>
    <definedName name="toutlet">Input_Output!$D$23</definedName>
    <definedName name="Treinject">Input_Output!$D$37</definedName>
    <definedName name="Ts">Input_Output!$D$7</definedName>
    <definedName name="Tx">Input_Output!$D$8</definedName>
    <definedName name="variable_OM_pumps">Input_Output!$D$20</definedName>
    <definedName name="well_pump">Input_Output!$B$14</definedName>
    <definedName name="wellcostscaling">Input_Output!$D$11</definedName>
  </definedNames>
  <calcPr calcId="145621"/>
</workbook>
</file>

<file path=xl/calcChain.xml><?xml version="1.0" encoding="utf-8"?>
<calcChain xmlns="http://schemas.openxmlformats.org/spreadsheetml/2006/main">
  <c r="C47" i="14" l="1"/>
  <c r="C46" i="14"/>
  <c r="AS9" i="15"/>
  <c r="AR9" i="15"/>
  <c r="AQ9" i="15"/>
  <c r="AP9" i="15"/>
  <c r="AO9" i="15"/>
  <c r="AN9" i="15"/>
  <c r="AM9" i="15"/>
  <c r="AL9" i="15"/>
  <c r="AK9" i="15"/>
  <c r="AJ9" i="15"/>
  <c r="AS9" i="16"/>
  <c r="AR9" i="16"/>
  <c r="AQ9" i="16"/>
  <c r="AP9" i="16"/>
  <c r="AO9" i="16"/>
  <c r="AN9" i="16"/>
  <c r="AM9" i="16"/>
  <c r="AL9" i="16"/>
  <c r="AK9" i="16"/>
  <c r="AJ9" i="16"/>
  <c r="AS14" i="16"/>
  <c r="AR14" i="16"/>
  <c r="AQ14" i="16"/>
  <c r="AP14" i="16"/>
  <c r="AO14" i="16"/>
  <c r="AN14" i="16"/>
  <c r="AM14" i="16"/>
  <c r="AL14" i="16"/>
  <c r="AK14" i="16"/>
  <c r="AJ14" i="16"/>
  <c r="AS13" i="16"/>
  <c r="AR13" i="16"/>
  <c r="AQ13" i="16"/>
  <c r="AP13" i="16"/>
  <c r="AO13" i="16"/>
  <c r="AN13" i="16"/>
  <c r="AM13" i="16"/>
  <c r="AL13" i="16"/>
  <c r="AK13" i="16"/>
  <c r="AJ13" i="16"/>
  <c r="AS14" i="15"/>
  <c r="AR14" i="15"/>
  <c r="AQ14" i="15"/>
  <c r="AP14" i="15"/>
  <c r="AO14" i="15"/>
  <c r="AN14" i="15"/>
  <c r="AM14" i="15"/>
  <c r="AL14" i="15"/>
  <c r="AK14" i="15"/>
  <c r="AJ14" i="15"/>
  <c r="AS13" i="15"/>
  <c r="AR13" i="15"/>
  <c r="AQ13" i="15"/>
  <c r="AP13" i="15"/>
  <c r="AO13" i="15"/>
  <c r="AN13" i="15"/>
  <c r="AM13" i="15"/>
  <c r="AL13" i="15"/>
  <c r="AK13" i="15"/>
  <c r="AJ13" i="15"/>
  <c r="AS8" i="16"/>
  <c r="AS28" i="16" s="1"/>
  <c r="AR8" i="16"/>
  <c r="AR28" i="16" s="1"/>
  <c r="AQ8" i="16"/>
  <c r="AQ28" i="16" s="1"/>
  <c r="AP8" i="16"/>
  <c r="AO8" i="16"/>
  <c r="AO28" i="16" s="1"/>
  <c r="AN8" i="16"/>
  <c r="AN28" i="16" s="1"/>
  <c r="AM8" i="16"/>
  <c r="AM28" i="16" s="1"/>
  <c r="AL8" i="16"/>
  <c r="AK8" i="16"/>
  <c r="AK28" i="16" s="1"/>
  <c r="AJ8" i="16"/>
  <c r="AJ28" i="16" s="1"/>
  <c r="AS8" i="15"/>
  <c r="AS28" i="15" s="1"/>
  <c r="AR8" i="15"/>
  <c r="AQ8" i="15"/>
  <c r="AQ28" i="15" s="1"/>
  <c r="AP8" i="15"/>
  <c r="AO8" i="15"/>
  <c r="AO28" i="15" s="1"/>
  <c r="AN8" i="15"/>
  <c r="AN28" i="15" s="1"/>
  <c r="AM8" i="15"/>
  <c r="AL8" i="15"/>
  <c r="AK8" i="15"/>
  <c r="AK28" i="15" s="1"/>
  <c r="AJ8" i="15"/>
  <c r="AS17" i="16"/>
  <c r="AR17" i="16"/>
  <c r="AQ17" i="16"/>
  <c r="AP17" i="16"/>
  <c r="AO17" i="16"/>
  <c r="AN17" i="16"/>
  <c r="AM17" i="16"/>
  <c r="AL17" i="16"/>
  <c r="AK17" i="16"/>
  <c r="AJ17" i="16"/>
  <c r="AS17" i="15"/>
  <c r="AR17" i="15"/>
  <c r="AQ17" i="15"/>
  <c r="AP17" i="15"/>
  <c r="AO17" i="15"/>
  <c r="AN17" i="15"/>
  <c r="AM17" i="15"/>
  <c r="AL17" i="15"/>
  <c r="AK17" i="15"/>
  <c r="AJ17" i="15"/>
  <c r="AS19" i="16"/>
  <c r="AR19" i="16"/>
  <c r="AQ19" i="16"/>
  <c r="AP19" i="16"/>
  <c r="AO19" i="16"/>
  <c r="AN19" i="16"/>
  <c r="AM19" i="16"/>
  <c r="AL19" i="16"/>
  <c r="AK19" i="16"/>
  <c r="AJ19" i="16"/>
  <c r="AS18" i="16"/>
  <c r="AR18" i="16"/>
  <c r="AQ18" i="16"/>
  <c r="AP18" i="16"/>
  <c r="AO18" i="16"/>
  <c r="AN18" i="16"/>
  <c r="AM18" i="16"/>
  <c r="AL18" i="16"/>
  <c r="AK18" i="16"/>
  <c r="AJ18" i="16"/>
  <c r="AS19" i="15"/>
  <c r="AR19" i="15"/>
  <c r="AQ19" i="15"/>
  <c r="AP19" i="15"/>
  <c r="AO19" i="15"/>
  <c r="AN19" i="15"/>
  <c r="AM19" i="15"/>
  <c r="AL19" i="15"/>
  <c r="AK19" i="15"/>
  <c r="AJ19" i="15"/>
  <c r="AS18" i="15"/>
  <c r="AR18" i="15"/>
  <c r="AQ18" i="15"/>
  <c r="AP18" i="15"/>
  <c r="AO18" i="15"/>
  <c r="AN18" i="15"/>
  <c r="AM18" i="15"/>
  <c r="AL18" i="15"/>
  <c r="AK18" i="15"/>
  <c r="AJ18" i="15"/>
  <c r="AL28" i="16" l="1"/>
  <c r="AP28" i="16"/>
  <c r="AL28" i="15"/>
  <c r="AP28" i="15"/>
  <c r="AM28" i="15"/>
  <c r="AJ28" i="15"/>
  <c r="AR28" i="15"/>
  <c r="AS10" i="16" l="1"/>
  <c r="AN10" i="16"/>
  <c r="AI10" i="16"/>
  <c r="AD10" i="16"/>
  <c r="T10" i="16"/>
  <c r="O10" i="16"/>
  <c r="J10" i="16"/>
  <c r="AS10" i="15"/>
  <c r="AN10" i="15"/>
  <c r="J10" i="15"/>
  <c r="O10" i="15"/>
  <c r="T10" i="15"/>
  <c r="Y10" i="15"/>
  <c r="AD10" i="15"/>
  <c r="AI10" i="15"/>
  <c r="C44" i="14" l="1"/>
  <c r="C22" i="14"/>
  <c r="L17" i="14" l="1"/>
  <c r="L12" i="14" l="1"/>
  <c r="L11" i="14"/>
  <c r="C68" i="14"/>
  <c r="C65" i="14"/>
  <c r="C41" i="14"/>
  <c r="C42" i="14"/>
  <c r="C43" i="14"/>
  <c r="C38" i="14"/>
  <c r="C39" i="14"/>
  <c r="C35" i="14"/>
  <c r="C34" i="14"/>
  <c r="C32" i="14"/>
  <c r="C40" i="14"/>
  <c r="C37" i="14"/>
  <c r="C33" i="14"/>
  <c r="C27" i="14"/>
  <c r="C28" i="14"/>
  <c r="C29" i="14"/>
  <c r="C30" i="14"/>
  <c r="C31" i="14"/>
  <c r="C25" i="14"/>
  <c r="C23" i="14"/>
  <c r="K25" i="14"/>
  <c r="Y10" i="16"/>
  <c r="E18" i="14"/>
  <c r="E15" i="14"/>
  <c r="E11" i="14"/>
  <c r="K14" i="14" l="1"/>
  <c r="A1" i="16"/>
  <c r="D20" i="14"/>
  <c r="D44" i="14" s="1"/>
  <c r="D12" i="14"/>
  <c r="D16" i="14" s="1"/>
  <c r="D23" i="14" l="1"/>
  <c r="AK15" i="16"/>
  <c r="AK22" i="16" s="1"/>
  <c r="AK23" i="16" s="1"/>
  <c r="AO15" i="16"/>
  <c r="AO22" i="16" s="1"/>
  <c r="AO23" i="16" s="1"/>
  <c r="AS15" i="16"/>
  <c r="AS22" i="16" s="1"/>
  <c r="AS23" i="16" s="1"/>
  <c r="AM20" i="16"/>
  <c r="AQ20" i="16"/>
  <c r="AP15" i="16"/>
  <c r="AP22" i="16" s="1"/>
  <c r="AP23" i="16" s="1"/>
  <c r="AJ20" i="16"/>
  <c r="AN20" i="16"/>
  <c r="AR20" i="16"/>
  <c r="AM15" i="16"/>
  <c r="AM22" i="16" s="1"/>
  <c r="AM23" i="16" s="1"/>
  <c r="AQ15" i="16"/>
  <c r="AQ22" i="16" s="1"/>
  <c r="AQ23" i="16" s="1"/>
  <c r="AK20" i="16"/>
  <c r="AO20" i="16"/>
  <c r="AS20" i="16"/>
  <c r="AJ15" i="16"/>
  <c r="AJ22" i="16" s="1"/>
  <c r="AJ23" i="16" s="1"/>
  <c r="AN15" i="16"/>
  <c r="AN22" i="16" s="1"/>
  <c r="AR15" i="16"/>
  <c r="AR22" i="16" s="1"/>
  <c r="AR23" i="16" s="1"/>
  <c r="AL15" i="16"/>
  <c r="AL22" i="16" s="1"/>
  <c r="AL23" i="16" s="1"/>
  <c r="AL20" i="16"/>
  <c r="AP20" i="16"/>
  <c r="AN23" i="16" l="1"/>
  <c r="AN25" i="16" s="1"/>
  <c r="D25" i="14"/>
  <c r="D38" i="14"/>
  <c r="AR25" i="16"/>
  <c r="AJ25" i="16"/>
  <c r="AQ25" i="16"/>
  <c r="AM25" i="16"/>
  <c r="AK25" i="16"/>
  <c r="AS25" i="16"/>
  <c r="AL25" i="16"/>
  <c r="AP25" i="16"/>
  <c r="AO25" i="16"/>
  <c r="D41" i="14" l="1"/>
  <c r="D43" i="14" s="1"/>
  <c r="AG8" i="16"/>
  <c r="AC8" i="16"/>
  <c r="Y8" i="16"/>
  <c r="U8" i="16"/>
  <c r="Q8" i="16"/>
  <c r="M8" i="16"/>
  <c r="I8" i="16"/>
  <c r="AK11" i="15"/>
  <c r="AH8" i="16"/>
  <c r="AD8" i="16"/>
  <c r="Z8" i="16"/>
  <c r="V8" i="16"/>
  <c r="R8" i="16"/>
  <c r="N8" i="16"/>
  <c r="J8" i="16"/>
  <c r="F8" i="16"/>
  <c r="AI8" i="16"/>
  <c r="AA8" i="16"/>
  <c r="S8" i="16"/>
  <c r="K8" i="16"/>
  <c r="AB8" i="16"/>
  <c r="T8" i="16"/>
  <c r="L8" i="16"/>
  <c r="AF8" i="16"/>
  <c r="AE8" i="16"/>
  <c r="O8" i="16"/>
  <c r="AO11" i="15"/>
  <c r="H8" i="16"/>
  <c r="G8" i="16"/>
  <c r="P8" i="16"/>
  <c r="X8" i="16"/>
  <c r="W8" i="16"/>
  <c r="AM11" i="15"/>
  <c r="AJ11" i="15"/>
  <c r="AP11" i="15"/>
  <c r="AS11" i="15"/>
  <c r="AR11" i="15"/>
  <c r="AL11" i="15"/>
  <c r="AQ11" i="15"/>
  <c r="AN11" i="15"/>
  <c r="E34" i="14"/>
  <c r="E28" i="14"/>
  <c r="D51" i="14"/>
  <c r="K12" i="14"/>
  <c r="X28" i="16" l="1"/>
  <c r="L28" i="16"/>
  <c r="S28" i="16"/>
  <c r="J28" i="16"/>
  <c r="Z28" i="16"/>
  <c r="I28" i="16"/>
  <c r="Y28" i="16"/>
  <c r="P28" i="16"/>
  <c r="O28" i="16"/>
  <c r="T28" i="16"/>
  <c r="AA28" i="16"/>
  <c r="N28" i="16"/>
  <c r="AD28" i="16"/>
  <c r="M28" i="16"/>
  <c r="AC28" i="16"/>
  <c r="G28" i="16"/>
  <c r="AE28" i="16"/>
  <c r="AB28" i="16"/>
  <c r="AI28" i="16"/>
  <c r="R28" i="16"/>
  <c r="AH28" i="16"/>
  <c r="Q28" i="16"/>
  <c r="AG28" i="16"/>
  <c r="W28" i="16"/>
  <c r="H28" i="16"/>
  <c r="AF28" i="16"/>
  <c r="K28" i="16"/>
  <c r="F28" i="16"/>
  <c r="V28" i="16"/>
  <c r="U28" i="16"/>
  <c r="D26" i="14"/>
  <c r="AC11" i="16" s="1"/>
  <c r="AC13" i="16" s="1"/>
  <c r="D35" i="14"/>
  <c r="A1" i="14"/>
  <c r="D58" i="14"/>
  <c r="K20" i="14"/>
  <c r="K21" i="14" s="1"/>
  <c r="A1" i="15"/>
  <c r="A2" i="14"/>
  <c r="C31" i="15" l="1"/>
  <c r="C31" i="16"/>
  <c r="AH11" i="16"/>
  <c r="AH13" i="16" s="1"/>
  <c r="L11" i="16"/>
  <c r="L13" i="16" s="1"/>
  <c r="G11" i="16"/>
  <c r="G13" i="16" s="1"/>
  <c r="W11" i="16"/>
  <c r="W13" i="16" s="1"/>
  <c r="Y11" i="16"/>
  <c r="Y13" i="16" s="1"/>
  <c r="AD11" i="16"/>
  <c r="AD13" i="16" s="1"/>
  <c r="H11" i="16"/>
  <c r="H13" i="16" s="1"/>
  <c r="AB11" i="16"/>
  <c r="AB13" i="16" s="1"/>
  <c r="T11" i="16"/>
  <c r="T13" i="16" s="1"/>
  <c r="J11" i="16"/>
  <c r="J13" i="16" s="1"/>
  <c r="X11" i="16"/>
  <c r="X13" i="16" s="1"/>
  <c r="F11" i="16"/>
  <c r="F13" i="16" s="1"/>
  <c r="U11" i="16"/>
  <c r="U13" i="16" s="1"/>
  <c r="Q11" i="16"/>
  <c r="Q13" i="16" s="1"/>
  <c r="AG8" i="15"/>
  <c r="AC8" i="15"/>
  <c r="Y8" i="15"/>
  <c r="U8" i="15"/>
  <c r="Q8" i="15"/>
  <c r="M8" i="15"/>
  <c r="I8" i="15"/>
  <c r="AH8" i="15"/>
  <c r="AD8" i="15"/>
  <c r="Z8" i="15"/>
  <c r="V8" i="15"/>
  <c r="R8" i="15"/>
  <c r="N8" i="15"/>
  <c r="J8" i="15"/>
  <c r="F8" i="15"/>
  <c r="AB8" i="15"/>
  <c r="T8" i="15"/>
  <c r="L8" i="15"/>
  <c r="AJ11" i="16"/>
  <c r="AE8" i="15"/>
  <c r="W8" i="15"/>
  <c r="O8" i="15"/>
  <c r="G8" i="15"/>
  <c r="AO11" i="16"/>
  <c r="AR11" i="16"/>
  <c r="X8" i="15"/>
  <c r="H8" i="15"/>
  <c r="AI8" i="15"/>
  <c r="AN11" i="16"/>
  <c r="AF8" i="15"/>
  <c r="AS11" i="16"/>
  <c r="AA8" i="15"/>
  <c r="K8" i="15"/>
  <c r="AK11" i="16"/>
  <c r="S8" i="15"/>
  <c r="P8" i="15"/>
  <c r="AQ11" i="16"/>
  <c r="AM11" i="16"/>
  <c r="AL11" i="16"/>
  <c r="AP11" i="16"/>
  <c r="K11" i="16"/>
  <c r="K13" i="16" s="1"/>
  <c r="AG11" i="16"/>
  <c r="AG13" i="16" s="1"/>
  <c r="AI11" i="16"/>
  <c r="AI13" i="16" s="1"/>
  <c r="O11" i="16"/>
  <c r="O13" i="16" s="1"/>
  <c r="AF11" i="16"/>
  <c r="AF13" i="16" s="1"/>
  <c r="R11" i="16"/>
  <c r="R13" i="16" s="1"/>
  <c r="M11" i="16"/>
  <c r="M13" i="16" s="1"/>
  <c r="N11" i="16"/>
  <c r="N13" i="16" s="1"/>
  <c r="P11" i="16"/>
  <c r="P13" i="16" s="1"/>
  <c r="I11" i="16"/>
  <c r="I13" i="16" s="1"/>
  <c r="V11" i="16"/>
  <c r="V13" i="16" s="1"/>
  <c r="AE11" i="16"/>
  <c r="AE13" i="16" s="1"/>
  <c r="AA11" i="16"/>
  <c r="AA13" i="16" s="1"/>
  <c r="Z11" i="16"/>
  <c r="Z13" i="16" s="1"/>
  <c r="S11" i="16"/>
  <c r="S13" i="16" s="1"/>
  <c r="D32" i="14"/>
  <c r="D34" i="14" s="1"/>
  <c r="K26" i="14"/>
  <c r="AK15" i="15"/>
  <c r="AK22" i="15" s="1"/>
  <c r="AK23" i="15" s="1"/>
  <c r="AQ20" i="15"/>
  <c r="AM20" i="15"/>
  <c r="AS20" i="15"/>
  <c r="AS15" i="15"/>
  <c r="AS22" i="15" s="1"/>
  <c r="AS23" i="15" s="1"/>
  <c r="AR20" i="15"/>
  <c r="AO20" i="15"/>
  <c r="AO15" i="15"/>
  <c r="AO22" i="15" s="1"/>
  <c r="AO23" i="15" s="1"/>
  <c r="AK20" i="15"/>
  <c r="AQ15" i="15"/>
  <c r="AQ22" i="15" s="1"/>
  <c r="AQ23" i="15" s="1"/>
  <c r="AL15" i="15"/>
  <c r="AL22" i="15" s="1"/>
  <c r="AL23" i="15" s="1"/>
  <c r="AJ15" i="15"/>
  <c r="AJ22" i="15" s="1"/>
  <c r="AJ23" i="15" s="1"/>
  <c r="AN15" i="15"/>
  <c r="AN22" i="15" s="1"/>
  <c r="AN23" i="15" s="1"/>
  <c r="AP20" i="15"/>
  <c r="AR15" i="15"/>
  <c r="AR22" i="15" s="1"/>
  <c r="AR23" i="15" s="1"/>
  <c r="AP15" i="15"/>
  <c r="AP22" i="15" s="1"/>
  <c r="AP23" i="15" s="1"/>
  <c r="AM15" i="15"/>
  <c r="AM22" i="15" s="1"/>
  <c r="AM23" i="15" s="1"/>
  <c r="AJ20" i="15"/>
  <c r="AL20" i="15"/>
  <c r="AN20" i="15"/>
  <c r="S11" i="15" l="1"/>
  <c r="S13" i="15" s="1"/>
  <c r="S28" i="15"/>
  <c r="H28" i="15"/>
  <c r="H11" i="15"/>
  <c r="H13" i="15" s="1"/>
  <c r="V28" i="15"/>
  <c r="V11" i="15"/>
  <c r="V13" i="15" s="1"/>
  <c r="Y28" i="15"/>
  <c r="Y11" i="15"/>
  <c r="Y13" i="15" s="1"/>
  <c r="AF11" i="15"/>
  <c r="AF13" i="15" s="1"/>
  <c r="AF28" i="15"/>
  <c r="O11" i="15"/>
  <c r="O13" i="15" s="1"/>
  <c r="O28" i="15"/>
  <c r="J11" i="15"/>
  <c r="J13" i="15" s="1"/>
  <c r="J28" i="15"/>
  <c r="Z28" i="15"/>
  <c r="Z11" i="15"/>
  <c r="Z13" i="15" s="1"/>
  <c r="AC28" i="15"/>
  <c r="AC11" i="15"/>
  <c r="AC13" i="15" s="1"/>
  <c r="AG9" i="15"/>
  <c r="AG14" i="15" s="1"/>
  <c r="AC9" i="15"/>
  <c r="AC14" i="15" s="1"/>
  <c r="Y9" i="15"/>
  <c r="Y14" i="15" s="1"/>
  <c r="U9" i="15"/>
  <c r="U14" i="15" s="1"/>
  <c r="Q9" i="15"/>
  <c r="Q14" i="15" s="1"/>
  <c r="M9" i="15"/>
  <c r="M14" i="15" s="1"/>
  <c r="I9" i="15"/>
  <c r="I14" i="15" s="1"/>
  <c r="AG9" i="16"/>
  <c r="AG14" i="16" s="1"/>
  <c r="AC9" i="16"/>
  <c r="AC14" i="16" s="1"/>
  <c r="Y9" i="16"/>
  <c r="Y14" i="16" s="1"/>
  <c r="U9" i="16"/>
  <c r="U14" i="16" s="1"/>
  <c r="Q9" i="16"/>
  <c r="Q14" i="16" s="1"/>
  <c r="M9" i="16"/>
  <c r="M14" i="16" s="1"/>
  <c r="I9" i="16"/>
  <c r="I14" i="16" s="1"/>
  <c r="AH9" i="15"/>
  <c r="AH14" i="15" s="1"/>
  <c r="AD9" i="15"/>
  <c r="AD14" i="15" s="1"/>
  <c r="Z9" i="15"/>
  <c r="Z14" i="15" s="1"/>
  <c r="V9" i="15"/>
  <c r="V14" i="15" s="1"/>
  <c r="R9" i="15"/>
  <c r="R14" i="15" s="1"/>
  <c r="N9" i="15"/>
  <c r="N14" i="15" s="1"/>
  <c r="J9" i="15"/>
  <c r="J14" i="15" s="1"/>
  <c r="F9" i="15"/>
  <c r="F14" i="15" s="1"/>
  <c r="AH9" i="16"/>
  <c r="AH14" i="16" s="1"/>
  <c r="AD9" i="16"/>
  <c r="AD14" i="16" s="1"/>
  <c r="Z9" i="16"/>
  <c r="Z14" i="16" s="1"/>
  <c r="V9" i="16"/>
  <c r="V14" i="16" s="1"/>
  <c r="R9" i="16"/>
  <c r="R14" i="16" s="1"/>
  <c r="N9" i="16"/>
  <c r="N14" i="16" s="1"/>
  <c r="J9" i="16"/>
  <c r="J14" i="16" s="1"/>
  <c r="F9" i="16"/>
  <c r="F14" i="16" s="1"/>
  <c r="AE9" i="15"/>
  <c r="AE14" i="15" s="1"/>
  <c r="W9" i="15"/>
  <c r="W14" i="15" s="1"/>
  <c r="O9" i="15"/>
  <c r="O14" i="15" s="1"/>
  <c r="G9" i="15"/>
  <c r="G14" i="15" s="1"/>
  <c r="AF9" i="16"/>
  <c r="AF14" i="16" s="1"/>
  <c r="X9" i="16"/>
  <c r="X14" i="16" s="1"/>
  <c r="P9" i="16"/>
  <c r="P14" i="16" s="1"/>
  <c r="H9" i="16"/>
  <c r="H14" i="16" s="1"/>
  <c r="AB9" i="15"/>
  <c r="AB14" i="15" s="1"/>
  <c r="L9" i="15"/>
  <c r="L14" i="15" s="1"/>
  <c r="W9" i="16"/>
  <c r="W14" i="16" s="1"/>
  <c r="G9" i="16"/>
  <c r="G14" i="16" s="1"/>
  <c r="AF9" i="15"/>
  <c r="AF14" i="15" s="1"/>
  <c r="X9" i="15"/>
  <c r="X14" i="15" s="1"/>
  <c r="P9" i="15"/>
  <c r="P14" i="15" s="1"/>
  <c r="H9" i="15"/>
  <c r="H14" i="15" s="1"/>
  <c r="AI9" i="16"/>
  <c r="AI14" i="16" s="1"/>
  <c r="AA9" i="16"/>
  <c r="AA14" i="16" s="1"/>
  <c r="S9" i="16"/>
  <c r="S14" i="16" s="1"/>
  <c r="K9" i="16"/>
  <c r="K14" i="16" s="1"/>
  <c r="T9" i="15"/>
  <c r="T14" i="15" s="1"/>
  <c r="AE9" i="16"/>
  <c r="AE14" i="16" s="1"/>
  <c r="O9" i="16"/>
  <c r="O14" i="16" s="1"/>
  <c r="S9" i="15"/>
  <c r="S14" i="15" s="1"/>
  <c r="AB9" i="16"/>
  <c r="AB14" i="16" s="1"/>
  <c r="T9" i="16"/>
  <c r="T14" i="16" s="1"/>
  <c r="L9" i="16"/>
  <c r="L14" i="16" s="1"/>
  <c r="AA9" i="15"/>
  <c r="AA14" i="15" s="1"/>
  <c r="K9" i="15"/>
  <c r="K14" i="15" s="1"/>
  <c r="AI9" i="15"/>
  <c r="AI14" i="15" s="1"/>
  <c r="P11" i="15"/>
  <c r="P13" i="15" s="1"/>
  <c r="P28" i="15"/>
  <c r="AA28" i="15"/>
  <c r="AA11" i="15"/>
  <c r="AA13" i="15" s="1"/>
  <c r="AI28" i="15"/>
  <c r="AI11" i="15"/>
  <c r="AI13" i="15" s="1"/>
  <c r="AE28" i="15"/>
  <c r="AE11" i="15"/>
  <c r="AE13" i="15" s="1"/>
  <c r="AB11" i="15"/>
  <c r="AB13" i="15" s="1"/>
  <c r="AB28" i="15"/>
  <c r="R28" i="15"/>
  <c r="R11" i="15"/>
  <c r="R13" i="15" s="1"/>
  <c r="AH28" i="15"/>
  <c r="AH11" i="15"/>
  <c r="AH13" i="15" s="1"/>
  <c r="U11" i="15"/>
  <c r="U13" i="15" s="1"/>
  <c r="U28" i="15"/>
  <c r="G28" i="15"/>
  <c r="G11" i="15"/>
  <c r="G13" i="15" s="1"/>
  <c r="F11" i="15"/>
  <c r="F13" i="15" s="1"/>
  <c r="F28" i="15"/>
  <c r="I11" i="15"/>
  <c r="I13" i="15" s="1"/>
  <c r="I28" i="15"/>
  <c r="X11" i="15"/>
  <c r="X13" i="15" s="1"/>
  <c r="X28" i="15"/>
  <c r="L11" i="15"/>
  <c r="L13" i="15" s="1"/>
  <c r="L28" i="15"/>
  <c r="M28" i="15"/>
  <c r="M11" i="15"/>
  <c r="M13" i="15" s="1"/>
  <c r="K28" i="15"/>
  <c r="K11" i="15"/>
  <c r="K13" i="15" s="1"/>
  <c r="W11" i="15"/>
  <c r="W13" i="15" s="1"/>
  <c r="W28" i="15"/>
  <c r="T11" i="15"/>
  <c r="T13" i="15" s="1"/>
  <c r="T28" i="15"/>
  <c r="N28" i="15"/>
  <c r="N11" i="15"/>
  <c r="N13" i="15" s="1"/>
  <c r="AD28" i="15"/>
  <c r="AD11" i="15"/>
  <c r="AD13" i="15" s="1"/>
  <c r="Q28" i="15"/>
  <c r="Q11" i="15"/>
  <c r="Q13" i="15" s="1"/>
  <c r="AG28" i="15"/>
  <c r="AG11" i="15"/>
  <c r="AG13" i="15" s="1"/>
  <c r="C30" i="15"/>
  <c r="C30" i="16"/>
  <c r="AM25" i="15"/>
  <c r="AQ25" i="15"/>
  <c r="AS25" i="15"/>
  <c r="AR25" i="15"/>
  <c r="AK25" i="15"/>
  <c r="AO25" i="15"/>
  <c r="AP25" i="15"/>
  <c r="AJ25" i="15"/>
  <c r="AN25" i="15"/>
  <c r="AL25" i="15"/>
  <c r="C32" i="15" l="1"/>
  <c r="C33" i="15" s="1"/>
  <c r="C34" i="15" s="1"/>
  <c r="C35" i="15" s="1"/>
  <c r="AH17" i="15"/>
  <c r="AD17" i="15"/>
  <c r="Z17" i="15"/>
  <c r="V17" i="15"/>
  <c r="R17" i="15"/>
  <c r="N17" i="15"/>
  <c r="J17" i="15"/>
  <c r="F17" i="15"/>
  <c r="AG17" i="15"/>
  <c r="AB17" i="15"/>
  <c r="W17" i="15"/>
  <c r="Q17" i="15"/>
  <c r="L17" i="15"/>
  <c r="G17" i="15"/>
  <c r="AI17" i="15"/>
  <c r="AC17" i="15"/>
  <c r="X17" i="15"/>
  <c r="S17" i="15"/>
  <c r="M17" i="15"/>
  <c r="H17" i="15"/>
  <c r="I17" i="15"/>
  <c r="AA17" i="15"/>
  <c r="Y17" i="15"/>
  <c r="AF17" i="15"/>
  <c r="U17" i="15"/>
  <c r="K17" i="15"/>
  <c r="AE17" i="15"/>
  <c r="T17" i="15"/>
  <c r="C36" i="15"/>
  <c r="P17" i="15"/>
  <c r="O17" i="15"/>
  <c r="AG17" i="16"/>
  <c r="AC17" i="16"/>
  <c r="Y17" i="16"/>
  <c r="AH17" i="16"/>
  <c r="AD17" i="16"/>
  <c r="Z17" i="16"/>
  <c r="V17" i="16"/>
  <c r="R17" i="16"/>
  <c r="N17" i="16"/>
  <c r="J17" i="16"/>
  <c r="F17" i="16"/>
  <c r="AE17" i="16"/>
  <c r="W17" i="16"/>
  <c r="Q17" i="16"/>
  <c r="L17" i="16"/>
  <c r="G17" i="16"/>
  <c r="C36" i="16"/>
  <c r="AF17" i="16"/>
  <c r="X17" i="16"/>
  <c r="S17" i="16"/>
  <c r="M17" i="16"/>
  <c r="H17" i="16"/>
  <c r="I17" i="16"/>
  <c r="AB17" i="16"/>
  <c r="AA17" i="16"/>
  <c r="U17" i="16"/>
  <c r="K17" i="16"/>
  <c r="AI17" i="16"/>
  <c r="T17" i="16"/>
  <c r="P17" i="16"/>
  <c r="O17" i="16"/>
  <c r="I15" i="15"/>
  <c r="F15" i="15"/>
  <c r="AH15" i="15"/>
  <c r="G15" i="15"/>
  <c r="P15" i="16"/>
  <c r="M15" i="15"/>
  <c r="R15" i="15"/>
  <c r="O15" i="16"/>
  <c r="AI15" i="15"/>
  <c r="L15" i="15"/>
  <c r="AE15" i="15"/>
  <c r="O15" i="15"/>
  <c r="AC15" i="15"/>
  <c r="W15" i="15"/>
  <c r="AA15" i="15"/>
  <c r="S15" i="15"/>
  <c r="N15" i="15"/>
  <c r="Q15" i="15"/>
  <c r="V15" i="16"/>
  <c r="Z15" i="16"/>
  <c r="E5" i="15"/>
  <c r="AG15" i="16"/>
  <c r="K15" i="16"/>
  <c r="Q15" i="16"/>
  <c r="AB15" i="16"/>
  <c r="J15" i="15"/>
  <c r="H15" i="15"/>
  <c r="U15" i="15"/>
  <c r="Z15" i="15"/>
  <c r="T15" i="15"/>
  <c r="Y15" i="15"/>
  <c r="AD15" i="16"/>
  <c r="Y15" i="16"/>
  <c r="AI15" i="16"/>
  <c r="AF15" i="15"/>
  <c r="V15" i="15"/>
  <c r="AG15" i="15"/>
  <c r="X15" i="15"/>
  <c r="AB15" i="15"/>
  <c r="AD15" i="15"/>
  <c r="K15" i="15"/>
  <c r="P15" i="15"/>
  <c r="J15" i="16"/>
  <c r="I15" i="16"/>
  <c r="F15" i="16"/>
  <c r="N15" i="16"/>
  <c r="U15" i="16"/>
  <c r="T15" i="16"/>
  <c r="AA15" i="16"/>
  <c r="AF15" i="16"/>
  <c r="L15" i="16"/>
  <c r="S15" i="16"/>
  <c r="AH15" i="16"/>
  <c r="R15" i="16"/>
  <c r="AC15" i="16"/>
  <c r="M15" i="16"/>
  <c r="X15" i="16"/>
  <c r="H15" i="16"/>
  <c r="W15" i="16"/>
  <c r="C32" i="16"/>
  <c r="C33" i="16" s="1"/>
  <c r="C34" i="16" s="1"/>
  <c r="C35" i="16" s="1"/>
  <c r="E5" i="16"/>
  <c r="AE15" i="16"/>
  <c r="D28" i="16"/>
  <c r="G15" i="16"/>
  <c r="D28" i="15"/>
  <c r="D52" i="14" l="1"/>
  <c r="AH19" i="16"/>
  <c r="AG19" i="16"/>
  <c r="AC19" i="16"/>
  <c r="Y19" i="16"/>
  <c r="U19" i="16"/>
  <c r="Q19" i="16"/>
  <c r="M19" i="16"/>
  <c r="I19" i="16"/>
  <c r="AI19" i="16"/>
  <c r="AD19" i="16"/>
  <c r="Z19" i="16"/>
  <c r="V19" i="16"/>
  <c r="R19" i="16"/>
  <c r="N19" i="16"/>
  <c r="J19" i="16"/>
  <c r="F19" i="16"/>
  <c r="O19" i="16"/>
  <c r="T19" i="16"/>
  <c r="S19" i="16"/>
  <c r="AF19" i="16"/>
  <c r="X19" i="16"/>
  <c r="P19" i="16"/>
  <c r="H19" i="16"/>
  <c r="AE19" i="16"/>
  <c r="W19" i="16"/>
  <c r="G19" i="16"/>
  <c r="AB19" i="16"/>
  <c r="L19" i="16"/>
  <c r="AA19" i="16"/>
  <c r="K19" i="16"/>
  <c r="AG18" i="16"/>
  <c r="AC18" i="16"/>
  <c r="Y18" i="16"/>
  <c r="U18" i="16"/>
  <c r="Q18" i="16"/>
  <c r="I18" i="16"/>
  <c r="AC19" i="15"/>
  <c r="U19" i="15"/>
  <c r="M19" i="15"/>
  <c r="AC18" i="15"/>
  <c r="AC22" i="15" s="1"/>
  <c r="AC23" i="15" s="1"/>
  <c r="U18" i="15"/>
  <c r="U22" i="15" s="1"/>
  <c r="U23" i="15" s="1"/>
  <c r="M18" i="15"/>
  <c r="M22" i="15" s="1"/>
  <c r="M23" i="15" s="1"/>
  <c r="AH18" i="16"/>
  <c r="AD18" i="16"/>
  <c r="Z18" i="16"/>
  <c r="V18" i="16"/>
  <c r="R18" i="16"/>
  <c r="N18" i="16"/>
  <c r="J18" i="16"/>
  <c r="F18" i="16"/>
  <c r="AH19" i="15"/>
  <c r="AD19" i="15"/>
  <c r="Z19" i="15"/>
  <c r="V19" i="15"/>
  <c r="R19" i="15"/>
  <c r="N19" i="15"/>
  <c r="J19" i="15"/>
  <c r="F19" i="15"/>
  <c r="AH18" i="15"/>
  <c r="AH20" i="15" s="1"/>
  <c r="AD18" i="15"/>
  <c r="AD22" i="15" s="1"/>
  <c r="AD23" i="15" s="1"/>
  <c r="Z18" i="15"/>
  <c r="Z22" i="15" s="1"/>
  <c r="Z23" i="15" s="1"/>
  <c r="V18" i="15"/>
  <c r="V22" i="15" s="1"/>
  <c r="V23" i="15" s="1"/>
  <c r="R18" i="15"/>
  <c r="N18" i="15"/>
  <c r="N22" i="15" s="1"/>
  <c r="N23" i="15" s="1"/>
  <c r="J18" i="15"/>
  <c r="J22" i="15" s="1"/>
  <c r="J23" i="15" s="1"/>
  <c r="F18" i="15"/>
  <c r="M18" i="16"/>
  <c r="AG19" i="15"/>
  <c r="Y19" i="15"/>
  <c r="Q19" i="15"/>
  <c r="I19" i="15"/>
  <c r="AG18" i="15"/>
  <c r="AG22" i="15" s="1"/>
  <c r="AG23" i="15" s="1"/>
  <c r="Y18" i="15"/>
  <c r="Y22" i="15" s="1"/>
  <c r="Y23" i="15" s="1"/>
  <c r="Q18" i="15"/>
  <c r="Q22" i="15" s="1"/>
  <c r="Q23" i="15" s="1"/>
  <c r="I18" i="15"/>
  <c r="I22" i="15" s="1"/>
  <c r="I23" i="15" s="1"/>
  <c r="X18" i="16"/>
  <c r="H18" i="16"/>
  <c r="AI19" i="15"/>
  <c r="S19" i="15"/>
  <c r="T18" i="15"/>
  <c r="T22" i="15" s="1"/>
  <c r="T23" i="15" s="1"/>
  <c r="AE18" i="16"/>
  <c r="O18" i="16"/>
  <c r="AF19" i="15"/>
  <c r="P19" i="15"/>
  <c r="AI18" i="15"/>
  <c r="AI22" i="15" s="1"/>
  <c r="AI23" i="15" s="1"/>
  <c r="S18" i="15"/>
  <c r="S22" i="15" s="1"/>
  <c r="S23" i="15" s="1"/>
  <c r="AB18" i="16"/>
  <c r="L18" i="16"/>
  <c r="W19" i="15"/>
  <c r="G19" i="15"/>
  <c r="X18" i="15"/>
  <c r="X22" i="15" s="1"/>
  <c r="X23" i="15" s="1"/>
  <c r="H18" i="15"/>
  <c r="AI18" i="16"/>
  <c r="AA18" i="16"/>
  <c r="S18" i="16"/>
  <c r="K18" i="16"/>
  <c r="AB19" i="15"/>
  <c r="T19" i="15"/>
  <c r="L19" i="15"/>
  <c r="AE18" i="15"/>
  <c r="AE22" i="15" s="1"/>
  <c r="AE23" i="15" s="1"/>
  <c r="W18" i="15"/>
  <c r="W22" i="15" s="1"/>
  <c r="W23" i="15" s="1"/>
  <c r="O18" i="15"/>
  <c r="O22" i="15" s="1"/>
  <c r="O23" i="15" s="1"/>
  <c r="G18" i="15"/>
  <c r="G22" i="15" s="1"/>
  <c r="G23" i="15" s="1"/>
  <c r="AF18" i="16"/>
  <c r="P18" i="16"/>
  <c r="AA19" i="15"/>
  <c r="K19" i="15"/>
  <c r="AB18" i="15"/>
  <c r="AB22" i="15" s="1"/>
  <c r="AB23" i="15" s="1"/>
  <c r="L18" i="15"/>
  <c r="L22" i="15" s="1"/>
  <c r="L23" i="15" s="1"/>
  <c r="W18" i="16"/>
  <c r="G18" i="16"/>
  <c r="X19" i="15"/>
  <c r="H19" i="15"/>
  <c r="AA18" i="15"/>
  <c r="AA22" i="15" s="1"/>
  <c r="AA23" i="15" s="1"/>
  <c r="K18" i="15"/>
  <c r="K22" i="15" s="1"/>
  <c r="K23" i="15" s="1"/>
  <c r="T18" i="16"/>
  <c r="AE19" i="15"/>
  <c r="O19" i="15"/>
  <c r="AF18" i="15"/>
  <c r="AF22" i="15" s="1"/>
  <c r="AF23" i="15" s="1"/>
  <c r="P18" i="15"/>
  <c r="T20" i="15" l="1"/>
  <c r="T25" i="15" s="1"/>
  <c r="AD20" i="15"/>
  <c r="AD25" i="15" s="1"/>
  <c r="R20" i="15"/>
  <c r="AC20" i="16"/>
  <c r="AC22" i="16"/>
  <c r="AC23" i="16" s="1"/>
  <c r="R20" i="16"/>
  <c r="R22" i="16"/>
  <c r="R23" i="16" s="1"/>
  <c r="AH20" i="16"/>
  <c r="AH22" i="16"/>
  <c r="AH23" i="16" s="1"/>
  <c r="G20" i="16"/>
  <c r="G22" i="16"/>
  <c r="G23" i="16" s="1"/>
  <c r="W20" i="16"/>
  <c r="W22" i="16"/>
  <c r="W23" i="16" s="1"/>
  <c r="H20" i="16"/>
  <c r="H22" i="16"/>
  <c r="H23" i="16" s="1"/>
  <c r="X20" i="16"/>
  <c r="X22" i="16"/>
  <c r="X23" i="16" s="1"/>
  <c r="AG20" i="16"/>
  <c r="AG22" i="16"/>
  <c r="AG23" i="16" s="1"/>
  <c r="F20" i="16"/>
  <c r="F22" i="16"/>
  <c r="F23" i="16" s="1"/>
  <c r="V20" i="16"/>
  <c r="V22" i="16"/>
  <c r="V23" i="16" s="1"/>
  <c r="I20" i="16"/>
  <c r="I22" i="16"/>
  <c r="I23" i="16" s="1"/>
  <c r="K20" i="16"/>
  <c r="K22" i="16"/>
  <c r="K23" i="16" s="1"/>
  <c r="AA20" i="16"/>
  <c r="AA22" i="16"/>
  <c r="AA23" i="16" s="1"/>
  <c r="L20" i="16"/>
  <c r="L22" i="16"/>
  <c r="L23" i="16" s="1"/>
  <c r="AB20" i="16"/>
  <c r="AB22" i="16"/>
  <c r="AB23" i="16" s="1"/>
  <c r="M20" i="16"/>
  <c r="M22" i="16"/>
  <c r="M23" i="16" s="1"/>
  <c r="J20" i="16"/>
  <c r="J22" i="16"/>
  <c r="J23" i="16" s="1"/>
  <c r="Z20" i="16"/>
  <c r="Z22" i="16"/>
  <c r="Z23" i="16" s="1"/>
  <c r="Q20" i="16"/>
  <c r="Q22" i="16"/>
  <c r="Q23" i="16" s="1"/>
  <c r="O20" i="16"/>
  <c r="O22" i="16"/>
  <c r="O23" i="16" s="1"/>
  <c r="AE20" i="16"/>
  <c r="AE22" i="16"/>
  <c r="AE23" i="16" s="1"/>
  <c r="P20" i="16"/>
  <c r="P22" i="16"/>
  <c r="P23" i="16" s="1"/>
  <c r="AF20" i="16"/>
  <c r="AF22" i="16"/>
  <c r="AF23" i="16" s="1"/>
  <c r="U20" i="16"/>
  <c r="U22" i="16"/>
  <c r="U23" i="16" s="1"/>
  <c r="N20" i="16"/>
  <c r="N22" i="16"/>
  <c r="N23" i="16" s="1"/>
  <c r="AD20" i="16"/>
  <c r="AD22" i="16"/>
  <c r="AD23" i="16" s="1"/>
  <c r="Y20" i="16"/>
  <c r="Y22" i="16"/>
  <c r="Y23" i="16" s="1"/>
  <c r="S20" i="16"/>
  <c r="S22" i="16"/>
  <c r="S23" i="16" s="1"/>
  <c r="AI20" i="16"/>
  <c r="AI22" i="16"/>
  <c r="AI23" i="16" s="1"/>
  <c r="T20" i="16"/>
  <c r="T22" i="16"/>
  <c r="T23" i="16" s="1"/>
  <c r="X20" i="15"/>
  <c r="X25" i="15" s="1"/>
  <c r="AI20" i="15"/>
  <c r="AI25" i="15" s="1"/>
  <c r="F22" i="15"/>
  <c r="F23" i="15" s="1"/>
  <c r="M20" i="15"/>
  <c r="M25" i="15" s="1"/>
  <c r="N20" i="15"/>
  <c r="N25" i="15" s="1"/>
  <c r="R22" i="15"/>
  <c r="R23" i="15" s="1"/>
  <c r="AH22" i="15"/>
  <c r="K20" i="15"/>
  <c r="K25" i="15" s="1"/>
  <c r="G20" i="15"/>
  <c r="G25" i="15" s="1"/>
  <c r="H20" i="15"/>
  <c r="AF20" i="15"/>
  <c r="AF25" i="15" s="1"/>
  <c r="AE20" i="15"/>
  <c r="AE25" i="15" s="1"/>
  <c r="O20" i="15"/>
  <c r="O25" i="15" s="1"/>
  <c r="L20" i="15"/>
  <c r="L25" i="15" s="1"/>
  <c r="H22" i="15"/>
  <c r="H23" i="15" s="1"/>
  <c r="AG20" i="15"/>
  <c r="AG25" i="15" s="1"/>
  <c r="I20" i="15"/>
  <c r="I25" i="15" s="1"/>
  <c r="Z20" i="15"/>
  <c r="Z25" i="15" s="1"/>
  <c r="P20" i="15"/>
  <c r="P22" i="15"/>
  <c r="P23" i="15" s="1"/>
  <c r="Q20" i="15"/>
  <c r="Q25" i="15" s="1"/>
  <c r="F20" i="15"/>
  <c r="Y20" i="15"/>
  <c r="Y25" i="15" s="1"/>
  <c r="AB20" i="15"/>
  <c r="AB25" i="15" s="1"/>
  <c r="S20" i="15"/>
  <c r="S25" i="15" s="1"/>
  <c r="J20" i="15"/>
  <c r="J25" i="15" s="1"/>
  <c r="AC20" i="15"/>
  <c r="AC25" i="15" s="1"/>
  <c r="U20" i="15"/>
  <c r="U25" i="15" s="1"/>
  <c r="W20" i="15"/>
  <c r="W25" i="15" s="1"/>
  <c r="V20" i="15"/>
  <c r="V25" i="15" s="1"/>
  <c r="AA20" i="15"/>
  <c r="AA25" i="15" s="1"/>
  <c r="AH23" i="15" l="1"/>
  <c r="AH25" i="15" s="1"/>
  <c r="R25" i="15"/>
  <c r="T25" i="16"/>
  <c r="S25" i="16"/>
  <c r="P25" i="16"/>
  <c r="Z25" i="16"/>
  <c r="K25" i="16"/>
  <c r="H25" i="16"/>
  <c r="R25" i="16"/>
  <c r="AI25" i="16"/>
  <c r="AF25" i="16"/>
  <c r="J25" i="16"/>
  <c r="AB25" i="16"/>
  <c r="AA25" i="16"/>
  <c r="I25" i="16"/>
  <c r="F25" i="16"/>
  <c r="X25" i="16"/>
  <c r="W25" i="16"/>
  <c r="AH25" i="16"/>
  <c r="AD25" i="16"/>
  <c r="U25" i="16"/>
  <c r="O25" i="16"/>
  <c r="M25" i="16"/>
  <c r="L25" i="16"/>
  <c r="V25" i="16"/>
  <c r="AG25" i="16"/>
  <c r="G25" i="16"/>
  <c r="Y25" i="16"/>
  <c r="N25" i="16"/>
  <c r="AE25" i="16"/>
  <c r="Q25" i="16"/>
  <c r="AC25" i="16"/>
  <c r="F25" i="15"/>
  <c r="P25" i="15"/>
  <c r="H25" i="15"/>
  <c r="D27" i="16" l="1"/>
  <c r="D68" i="14" s="1"/>
  <c r="D27" i="15"/>
  <c r="D65" i="14" l="1"/>
</calcChain>
</file>

<file path=xl/comments1.xml><?xml version="1.0" encoding="utf-8"?>
<comments xmlns="http://schemas.openxmlformats.org/spreadsheetml/2006/main">
  <authors>
    <author>JanDiederik van Wees</author>
  </authors>
  <commentList>
    <comment ref="D14" authorId="0">
      <text>
        <r>
          <rPr>
            <b/>
            <sz val="9"/>
            <color indexed="81"/>
            <rFont val="Tahoma"/>
            <charset val="1"/>
          </rPr>
          <t>JanDiederik van Wees:</t>
        </r>
        <r>
          <rPr>
            <sz val="9"/>
            <color indexed="81"/>
            <rFont val="Tahoma"/>
            <charset val="1"/>
          </rPr>
          <t xml:space="preserve">
just make 1 pump</t>
        </r>
      </text>
    </comment>
    <comment ref="D15" authorId="0">
      <text>
        <r>
          <rPr>
            <b/>
            <sz val="9"/>
            <color indexed="81"/>
            <rFont val="Tahoma"/>
            <charset val="1"/>
          </rPr>
          <t>JanDiederik van Wees:</t>
        </r>
        <r>
          <rPr>
            <sz val="9"/>
            <color indexed="81"/>
            <rFont val="Tahoma"/>
            <charset val="1"/>
          </rPr>
          <t xml:space="preserve">
change name to nrwells not pumps!
</t>
        </r>
      </text>
    </comment>
    <comment ref="F18" authorId="0">
      <text>
        <r>
          <rPr>
            <b/>
            <sz val="9"/>
            <color indexed="81"/>
            <rFont val="Tahoma"/>
            <charset val="1"/>
          </rPr>
          <t>JanDiederik van Wees:</t>
        </r>
        <r>
          <rPr>
            <sz val="9"/>
            <color indexed="81"/>
            <rFont val="Tahoma"/>
            <charset val="1"/>
          </rPr>
          <t xml:space="preserve">
explain that for Mwe/Mwe this would much lower
</t>
        </r>
      </text>
    </comment>
  </commentList>
</comments>
</file>

<file path=xl/sharedStrings.xml><?xml version="1.0" encoding="utf-8"?>
<sst xmlns="http://schemas.openxmlformats.org/spreadsheetml/2006/main" count="318" uniqueCount="216">
  <si>
    <t>euro</t>
  </si>
  <si>
    <t>Euro</t>
  </si>
  <si>
    <t>Euro/kWe</t>
  </si>
  <si>
    <t>Contact</t>
  </si>
  <si>
    <t>Flowrate</t>
  </si>
  <si>
    <t>L/s</t>
  </si>
  <si>
    <t>C</t>
  </si>
  <si>
    <t>Surface temperature</t>
  </si>
  <si>
    <t>Cpwater</t>
  </si>
  <si>
    <t>𝜌water</t>
  </si>
  <si>
    <t>Cprock</t>
  </si>
  <si>
    <t>𝜌rock</t>
  </si>
  <si>
    <t>m</t>
  </si>
  <si>
    <t>Seconds per year</t>
  </si>
  <si>
    <t>seconds per 30 years</t>
  </si>
  <si>
    <t>Economic lifetime</t>
  </si>
  <si>
    <t>Years</t>
  </si>
  <si>
    <t>hours/year</t>
  </si>
  <si>
    <t>Variable O&amp;M</t>
  </si>
  <si>
    <t>Pump investment</t>
  </si>
  <si>
    <t>Inflation</t>
  </si>
  <si>
    <t>Required return on equity</t>
  </si>
  <si>
    <t>Tax</t>
  </si>
  <si>
    <t>Term Loan</t>
  </si>
  <si>
    <t>Depreciation period</t>
  </si>
  <si>
    <t>Value</t>
  </si>
  <si>
    <t>Unit</t>
  </si>
  <si>
    <t>Comment</t>
  </si>
  <si>
    <t>INPUTVARIABLES</t>
  </si>
  <si>
    <t>J/kg K</t>
  </si>
  <si>
    <t>kg/m3</t>
  </si>
  <si>
    <t>s</t>
  </si>
  <si>
    <t>m3</t>
  </si>
  <si>
    <t>Year</t>
  </si>
  <si>
    <t>Investment</t>
  </si>
  <si>
    <t>Discounted revenue</t>
  </si>
  <si>
    <t>Discounted energy sales</t>
  </si>
  <si>
    <t>Total investment</t>
  </si>
  <si>
    <t>Project rate</t>
  </si>
  <si>
    <t>Loan share</t>
  </si>
  <si>
    <t>Equity share</t>
  </si>
  <si>
    <t>Positive values = good for producer</t>
  </si>
  <si>
    <t>Euro/m</t>
  </si>
  <si>
    <t>MWh</t>
  </si>
  <si>
    <t>Euro/MWh</t>
  </si>
  <si>
    <t>kWh</t>
  </si>
  <si>
    <t>enter value</t>
  </si>
  <si>
    <t>do not enter value (calculated by other cells)</t>
  </si>
  <si>
    <t>authors</t>
  </si>
  <si>
    <t>date</t>
  </si>
  <si>
    <t>Contact jan-diederik van Wees. Jan_diederik.vanwees@tno.nl, +31651338919</t>
  </si>
  <si>
    <t>color coding</t>
  </si>
  <si>
    <t>rock and fluid properties</t>
  </si>
  <si>
    <t>parameter</t>
  </si>
  <si>
    <t>power conversion</t>
  </si>
  <si>
    <t>total conversion efficiency</t>
  </si>
  <si>
    <t>relative efficiency</t>
  </si>
  <si>
    <t>offset for Tbase</t>
  </si>
  <si>
    <t>units</t>
  </si>
  <si>
    <t>Ultimate recovery</t>
  </si>
  <si>
    <t>rock volume involved</t>
  </si>
  <si>
    <t>along hole depth of a single well</t>
  </si>
  <si>
    <t>well cost scaling factor</t>
  </si>
  <si>
    <t>Number of wells</t>
  </si>
  <si>
    <t>mln Euro</t>
  </si>
  <si>
    <t>Mln euro/pump</t>
  </si>
  <si>
    <t>legal max in allowed tax deduction</t>
  </si>
  <si>
    <t xml:space="preserve">along hole depth (total length) of a single borehole in the subsurface </t>
  </si>
  <si>
    <t>total flow rate which is achieved from the subsurface (measured at surface conditions)</t>
  </si>
  <si>
    <t>production temperature (reservoir temperature, corrected for temperature losses)</t>
  </si>
  <si>
    <t>net power produced, taking into account the relative efficiency recorded by operating binary and flash plants</t>
  </si>
  <si>
    <t>costs for power conversion system</t>
  </si>
  <si>
    <t>scaling factor for calculating well costs</t>
  </si>
  <si>
    <t>well costs</t>
  </si>
  <si>
    <t>number of wells in the reservoir</t>
  </si>
  <si>
    <t>fiscal lowering of Earnings before tax (EBT)</t>
  </si>
  <si>
    <t>NPV benefit to project</t>
  </si>
  <si>
    <t>capex for fiscal stimulus</t>
  </si>
  <si>
    <t>fiscal stimulus on lowering EBT</t>
  </si>
  <si>
    <t>percentage of CAPEX for fiscal stimulus</t>
  </si>
  <si>
    <t>Equity share in investment</t>
  </si>
  <si>
    <t>Debt share in investment</t>
  </si>
  <si>
    <t>legal maximum in tax benefit</t>
  </si>
  <si>
    <t>NPV of benefit to project</t>
  </si>
  <si>
    <t>apply fiscal stimulus on lowering earnings before tax (EBT) of the project developer</t>
  </si>
  <si>
    <t>percentage of CAPEX which can be deducted from EBT</t>
  </si>
  <si>
    <t>used</t>
  </si>
  <si>
    <t>effective benefit to project</t>
  </si>
  <si>
    <t>MWe</t>
  </si>
  <si>
    <t>Electricity(A)</t>
  </si>
  <si>
    <t>Operational Costs(B)</t>
  </si>
  <si>
    <t>Installation Pump  (C )</t>
  </si>
  <si>
    <t>Total income (E=D)</t>
  </si>
  <si>
    <t>Total costs (F=B+C)</t>
  </si>
  <si>
    <t>Gross revenue (G=E+F)</t>
  </si>
  <si>
    <t>Depreciation (H)</t>
  </si>
  <si>
    <t>interest (I)</t>
  </si>
  <si>
    <t>payment (J)</t>
  </si>
  <si>
    <t>Total loan charges (K=I+J)</t>
  </si>
  <si>
    <t>Tax  (M)</t>
  </si>
  <si>
    <t>Taxable income (L=G+D+I),needs to be recovered from sales</t>
  </si>
  <si>
    <t>Net revenue after taxes (N=G+K+M)</t>
  </si>
  <si>
    <t>effective load hours in a year for electricity production</t>
  </si>
  <si>
    <t>electric power</t>
  </si>
  <si>
    <t>thermal power for electricity</t>
  </si>
  <si>
    <t>Operational choice</t>
  </si>
  <si>
    <t>power plant capex</t>
  </si>
  <si>
    <t>power Loadtime</t>
  </si>
  <si>
    <t>MWth</t>
  </si>
  <si>
    <t>Market value electricity&amp;heat (D)</t>
  </si>
  <si>
    <t>kEuro/MWth</t>
  </si>
  <si>
    <t>direct heat production</t>
  </si>
  <si>
    <t>direct heat load hours</t>
  </si>
  <si>
    <t>direct heat plant investment costs</t>
  </si>
  <si>
    <t>direct heat Fixed O&amp;M rate</t>
  </si>
  <si>
    <t>direct heat Fixed O&amp;M</t>
  </si>
  <si>
    <t>direct heat Variable O&amp;M</t>
  </si>
  <si>
    <t>direct heat capex</t>
  </si>
  <si>
    <t>Eur/MWHth</t>
  </si>
  <si>
    <t>complementary electricity sales</t>
  </si>
  <si>
    <t>Euro/Mwhe</t>
  </si>
  <si>
    <t>COP</t>
  </si>
  <si>
    <t>electricity price for driving the pumps</t>
  </si>
  <si>
    <t>complementary heat sales</t>
  </si>
  <si>
    <t>heat(A)</t>
  </si>
  <si>
    <t>GJ</t>
  </si>
  <si>
    <t>Euro/MWhe</t>
  </si>
  <si>
    <t>Euro/GJ</t>
  </si>
  <si>
    <t>euro/GJ</t>
  </si>
  <si>
    <t>subsurface capex</t>
  </si>
  <si>
    <t>mln euro</t>
  </si>
  <si>
    <t>power Fixed O&amp;M rate</t>
  </si>
  <si>
    <t>power Fixed O&amp;M</t>
  </si>
  <si>
    <t>power Variable O&amp;M</t>
  </si>
  <si>
    <t>power Grid investment</t>
  </si>
  <si>
    <t>power Grid Connection Variable</t>
  </si>
  <si>
    <t>power Distance to grid</t>
  </si>
  <si>
    <t>power Plant investment costs</t>
  </si>
  <si>
    <t>Geothermal Energy</t>
  </si>
  <si>
    <t>mln euro/Well</t>
  </si>
  <si>
    <t>subsurface</t>
  </si>
  <si>
    <t>subsurface parasitic</t>
  </si>
  <si>
    <t>euro /MWhe</t>
  </si>
  <si>
    <t>euro/MWhth</t>
  </si>
  <si>
    <t>(co) heat relative starting temperature</t>
  </si>
  <si>
    <t>power temperature range used</t>
  </si>
  <si>
    <t>POWER (power,co-heat)</t>
  </si>
  <si>
    <t>HEAT SHEET (heat)</t>
  </si>
  <si>
    <t>average yearly surface temperature</t>
  </si>
  <si>
    <t>lifetime for cash flow calculations</t>
  </si>
  <si>
    <t>calculated subsurface capex for wells, stimulation and pumps</t>
  </si>
  <si>
    <t>calculated costs for drillling the wells</t>
  </si>
  <si>
    <t>electricity price for the power consumed by the subsurface pumps</t>
  </si>
  <si>
    <t>km2</t>
  </si>
  <si>
    <t>UR for volume</t>
  </si>
  <si>
    <t>subsurface area</t>
  </si>
  <si>
    <t>subsurface thickness</t>
  </si>
  <si>
    <t>Tbase (minimum Tx for power)</t>
  </si>
  <si>
    <t>production temperature (Tx)</t>
  </si>
  <si>
    <t>complementary sales</t>
  </si>
  <si>
    <t>distance for the connection to the power grid</t>
  </si>
  <si>
    <t>grid connection cost per unit of power installed</t>
  </si>
  <si>
    <t>grid connection cost per unit of distance</t>
  </si>
  <si>
    <t>calculated capex for power plant and grid connection</t>
  </si>
  <si>
    <t>power surface facilities</t>
  </si>
  <si>
    <t>(co)heat surface facilities</t>
  </si>
  <si>
    <t>%</t>
  </si>
  <si>
    <t>calculated variable O&amp;M costs (dependent on COP)</t>
  </si>
  <si>
    <t>outlet temperature power plant (Toutlet)</t>
  </si>
  <si>
    <t>reinjection temperature (effective temperature range is Toutlet..Treinject)</t>
  </si>
  <si>
    <t>direct heat reinjection temperature(Treinject)</t>
  </si>
  <si>
    <t>heat production</t>
  </si>
  <si>
    <t>effective load hours in a year for heat production</t>
  </si>
  <si>
    <t>heat surface installation costs per unit of heat production</t>
  </si>
  <si>
    <t>relative value (100%= Tx,0%=Tbase) for upper limit of temperature range for heat</t>
  </si>
  <si>
    <t>upper limit of Temperature for (co)heat use</t>
  </si>
  <si>
    <t>calculate capex for heat production surface facilities</t>
  </si>
  <si>
    <t>calculated O&amp;M costs per unit of power installed</t>
  </si>
  <si>
    <t>calculated O&amp;M costs per unit of heat production installed</t>
  </si>
  <si>
    <t>inflation for costs and benefits in project cash flow</t>
  </si>
  <si>
    <t>yes/no</t>
  </si>
  <si>
    <t>fiscal stimulus</t>
  </si>
  <si>
    <t>interest rate on debt</t>
  </si>
  <si>
    <t>Stimulation and other Cost</t>
  </si>
  <si>
    <t>additional well costs for stimulation (and other costs) of the reservoir</t>
  </si>
  <si>
    <t>loan rate</t>
  </si>
  <si>
    <t xml:space="preserve">share of debt(the loan) in effective investment </t>
  </si>
  <si>
    <t>tax rate for company</t>
  </si>
  <si>
    <t>share of equity in the effective investment</t>
  </si>
  <si>
    <t>required return on equity</t>
  </si>
  <si>
    <t>number of years for the loan</t>
  </si>
  <si>
    <t>number of years for depreciation (linear per unit of production)</t>
  </si>
  <si>
    <t>calculated variable O&amp;M per unit of heat produced (1MWhth=3.6GJ)</t>
  </si>
  <si>
    <t>calculated variable O&amp;M costs (dependent on COP, and efficiency of conversion)</t>
  </si>
  <si>
    <t>10-07-2011</t>
  </si>
  <si>
    <t>Calculation of LCOE of renewable heat and electricity</t>
  </si>
  <si>
    <t>version</t>
  </si>
  <si>
    <t>field in relevant in the calculation</t>
  </si>
  <si>
    <t>levelized cost of energy (LCOE)</t>
  </si>
  <si>
    <t>Geothermal electricity and heat</t>
  </si>
  <si>
    <t>Cash flow methodology is largely based on dutch economic models and spreadsheets developed by Energie Centrum Nederland (ECN, www.ecn.nl)</t>
  </si>
  <si>
    <t>sources</t>
  </si>
  <si>
    <t>heat (cold) conversion</t>
  </si>
  <si>
    <t>total efficiency</t>
  </si>
  <si>
    <t>1MWhth=3.6GJ</t>
  </si>
  <si>
    <t>O&amp;M costs as percentage of caclulated capex for (sub)surface facilities</t>
  </si>
  <si>
    <t>O&amp;M costs as percentage of caclulated capex for (sub) surface facilities</t>
  </si>
  <si>
    <t>Jan-Diederik van Wees, Lars ten Kulve, Derk Straathof, Maarten Pluymaekers</t>
  </si>
  <si>
    <t>pump investements. Workover is assumed every 5 years at installment costs</t>
  </si>
  <si>
    <t>Geothermal power (and co-heat)</t>
  </si>
  <si>
    <t>geothermal heat</t>
  </si>
  <si>
    <t>coefficient of performance (MWth/MWe) to drive the pumps. Ratio of thermal and electric power.</t>
  </si>
  <si>
    <t xml:space="preserve">complementary revenues from electricity sales </t>
  </si>
  <si>
    <t>complementary revennues from  heat sales</t>
  </si>
  <si>
    <t>power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</si>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</sst>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&quot;€&quot;\ #,##0.00;[Red]&quot;€&quot;\ \-#,##0.00"/>
    <numFmt numFmtId="165" formatCode="&quot;€&quot;\ #,##0_-;[Red]&quot;€&quot;\ #,##0\-"/>
    <numFmt numFmtId="166" formatCode="_-* #,##0.00_-;_-* #,##0.00\-;_-* &quot;-&quot;??_-;_-@_-"/>
    <numFmt numFmtId="167" formatCode="0.0000"/>
    <numFmt numFmtId="168" formatCode="0.0%"/>
    <numFmt numFmtId="169" formatCode="0.000000"/>
    <numFmt numFmtId="170" formatCode="0.000"/>
    <numFmt numFmtId="171" formatCode="0.0"/>
    <numFmt numFmtId="172" formatCode="0.000%"/>
    <numFmt numFmtId="173" formatCode="0_ ;[Red]\-0\ "/>
    <numFmt numFmtId="174" formatCode="&quot;€&quot;\ #,##0.0000;[Red]&quot;€&quot;\ \-#,##0.0000"/>
    <numFmt numFmtId="175" formatCode="#,##0.00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indexed="10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1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62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Border="1"/>
    <xf numFmtId="2" fontId="3" fillId="0" borderId="0" xfId="0" applyNumberFormat="1" applyFont="1"/>
    <xf numFmtId="9" fontId="3" fillId="0" borderId="0" xfId="3" applyFont="1" applyFill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169" fontId="0" fillId="0" borderId="0" xfId="0" applyNumberFormat="1"/>
    <xf numFmtId="0" fontId="0" fillId="0" borderId="0" xfId="0" applyFill="1" applyBorder="1"/>
    <xf numFmtId="3" fontId="0" fillId="0" borderId="0" xfId="0" applyNumberFormat="1" applyBorder="1"/>
    <xf numFmtId="0" fontId="3" fillId="0" borderId="1" xfId="0" applyFont="1" applyFill="1" applyBorder="1"/>
    <xf numFmtId="172" fontId="3" fillId="0" borderId="0" xfId="3" applyNumberFormat="1" applyFont="1"/>
    <xf numFmtId="3" fontId="3" fillId="2" borderId="0" xfId="0" applyNumberFormat="1" applyFont="1" applyFill="1" applyBorder="1"/>
    <xf numFmtId="0" fontId="2" fillId="0" borderId="3" xfId="0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2" borderId="4" xfId="0" applyFont="1" applyFill="1" applyBorder="1"/>
    <xf numFmtId="0" fontId="4" fillId="2" borderId="5" xfId="0" applyFont="1" applyFill="1" applyBorder="1" applyAlignment="1">
      <alignment horizontal="left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9" xfId="0" applyFont="1" applyFill="1" applyBorder="1"/>
    <xf numFmtId="0" fontId="0" fillId="2" borderId="10" xfId="0" applyFill="1" applyBorder="1"/>
    <xf numFmtId="0" fontId="3" fillId="2" borderId="9" xfId="0" applyFont="1" applyFill="1" applyBorder="1" applyAlignment="1">
      <alignment horizontal="left"/>
    </xf>
    <xf numFmtId="3" fontId="3" fillId="2" borderId="11" xfId="0" applyNumberFormat="1" applyFont="1" applyFill="1" applyBorder="1"/>
    <xf numFmtId="0" fontId="3" fillId="2" borderId="12" xfId="0" applyFont="1" applyFill="1" applyBorder="1"/>
    <xf numFmtId="168" fontId="3" fillId="2" borderId="0" xfId="0" applyNumberFormat="1" applyFont="1" applyFill="1" applyBorder="1"/>
    <xf numFmtId="0" fontId="3" fillId="2" borderId="3" xfId="0" applyFont="1" applyFill="1" applyBorder="1"/>
    <xf numFmtId="3" fontId="3" fillId="2" borderId="2" xfId="0" applyNumberFormat="1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2" fillId="2" borderId="14" xfId="0" applyFont="1" applyFill="1" applyBorder="1" applyAlignment="1">
      <alignment horizontal="right"/>
    </xf>
    <xf numFmtId="0" fontId="3" fillId="2" borderId="1" xfId="0" applyFont="1" applyFill="1" applyBorder="1"/>
    <xf numFmtId="0" fontId="3" fillId="2" borderId="15" xfId="0" applyFont="1" applyFill="1" applyBorder="1"/>
    <xf numFmtId="0" fontId="2" fillId="2" borderId="3" xfId="0" applyFont="1" applyFill="1" applyBorder="1"/>
    <xf numFmtId="1" fontId="3" fillId="2" borderId="2" xfId="0" applyNumberFormat="1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3" fontId="3" fillId="2" borderId="3" xfId="0" applyNumberFormat="1" applyFont="1" applyFill="1" applyBorder="1"/>
    <xf numFmtId="0" fontId="2" fillId="2" borderId="17" xfId="0" applyFont="1" applyFill="1" applyBorder="1"/>
    <xf numFmtId="0" fontId="2" fillId="2" borderId="16" xfId="0" applyFont="1" applyFill="1" applyBorder="1"/>
    <xf numFmtId="3" fontId="2" fillId="2" borderId="7" xfId="0" applyNumberFormat="1" applyFont="1" applyFill="1" applyBorder="1"/>
    <xf numFmtId="3" fontId="2" fillId="2" borderId="16" xfId="0" applyNumberFormat="1" applyFont="1" applyFill="1" applyBorder="1"/>
    <xf numFmtId="0" fontId="5" fillId="2" borderId="7" xfId="0" applyFont="1" applyFill="1" applyBorder="1"/>
    <xf numFmtId="0" fontId="2" fillId="2" borderId="7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center"/>
    </xf>
    <xf numFmtId="0" fontId="2" fillId="2" borderId="18" xfId="0" applyFont="1" applyFill="1" applyBorder="1"/>
    <xf numFmtId="0" fontId="0" fillId="2" borderId="19" xfId="0" applyFill="1" applyBorder="1"/>
    <xf numFmtId="9" fontId="3" fillId="0" borderId="0" xfId="0" applyNumberFormat="1" applyFont="1"/>
    <xf numFmtId="3" fontId="0" fillId="0" borderId="0" xfId="0" applyNumberFormat="1"/>
    <xf numFmtId="1" fontId="3" fillId="0" borderId="0" xfId="0" applyNumberFormat="1" applyFont="1"/>
    <xf numFmtId="4" fontId="3" fillId="0" borderId="0" xfId="0" applyNumberFormat="1" applyFont="1" applyFill="1" applyBorder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indent="1"/>
    </xf>
    <xf numFmtId="0" fontId="9" fillId="0" borderId="0" xfId="0" applyFont="1" applyBorder="1"/>
    <xf numFmtId="0" fontId="9" fillId="0" borderId="0" xfId="0" applyFont="1"/>
    <xf numFmtId="0" fontId="9" fillId="0" borderId="0" xfId="0" applyFont="1" applyFill="1" applyBorder="1"/>
    <xf numFmtId="0" fontId="10" fillId="0" borderId="0" xfId="0" applyFont="1" applyBorder="1"/>
    <xf numFmtId="0" fontId="10" fillId="0" borderId="0" xfId="0" applyFont="1"/>
    <xf numFmtId="0" fontId="10" fillId="0" borderId="0" xfId="0" applyFont="1" applyFill="1" applyBorder="1"/>
    <xf numFmtId="0" fontId="6" fillId="0" borderId="1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8" xfId="0" applyBorder="1"/>
    <xf numFmtId="0" fontId="0" fillId="0" borderId="22" xfId="0" applyBorder="1"/>
    <xf numFmtId="0" fontId="0" fillId="0" borderId="22" xfId="0" applyBorder="1" applyAlignment="1">
      <alignment wrapText="1"/>
    </xf>
    <xf numFmtId="0" fontId="0" fillId="0" borderId="8" xfId="0" applyBorder="1" applyAlignment="1">
      <alignment vertical="top"/>
    </xf>
    <xf numFmtId="0" fontId="5" fillId="0" borderId="8" xfId="0" applyFont="1" applyBorder="1"/>
    <xf numFmtId="0" fontId="3" fillId="0" borderId="22" xfId="0" applyFont="1" applyBorder="1"/>
    <xf numFmtId="0" fontId="0" fillId="0" borderId="20" xfId="0" applyBorder="1"/>
    <xf numFmtId="0" fontId="0" fillId="0" borderId="21" xfId="0" applyBorder="1"/>
    <xf numFmtId="165" fontId="3" fillId="2" borderId="1" xfId="0" applyNumberFormat="1" applyFont="1" applyFill="1" applyBorder="1"/>
    <xf numFmtId="173" fontId="3" fillId="2" borderId="15" xfId="0" applyNumberFormat="1" applyFont="1" applyFill="1" applyBorder="1"/>
    <xf numFmtId="0" fontId="1" fillId="2" borderId="8" xfId="0" applyFont="1" applyFill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2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1" fontId="3" fillId="3" borderId="0" xfId="3" applyNumberFormat="1" applyFont="1" applyFill="1" applyBorder="1" applyAlignment="1">
      <alignment horizontal="center"/>
    </xf>
    <xf numFmtId="9" fontId="3" fillId="3" borderId="0" xfId="3" applyFont="1" applyFill="1" applyBorder="1" applyAlignment="1">
      <alignment horizontal="center"/>
    </xf>
    <xf numFmtId="167" fontId="3" fillId="2" borderId="7" xfId="0" applyNumberFormat="1" applyFont="1" applyFill="1" applyBorder="1" applyAlignment="1">
      <alignment horizontal="center"/>
    </xf>
    <xf numFmtId="0" fontId="3" fillId="3" borderId="0" xfId="3" applyNumberFormat="1" applyFont="1" applyFill="1" applyBorder="1" applyAlignment="1">
      <alignment horizontal="center"/>
    </xf>
    <xf numFmtId="9" fontId="3" fillId="3" borderId="0" xfId="0" applyNumberFormat="1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center"/>
    </xf>
    <xf numFmtId="9" fontId="1" fillId="2" borderId="7" xfId="3" applyFill="1" applyBorder="1" applyAlignment="1">
      <alignment horizontal="center"/>
    </xf>
    <xf numFmtId="9" fontId="3" fillId="3" borderId="0" xfId="3" applyNumberFormat="1" applyFont="1" applyFill="1" applyBorder="1" applyAlignment="1">
      <alignment horizontal="center"/>
    </xf>
    <xf numFmtId="9" fontId="3" fillId="2" borderId="0" xfId="3" applyNumberFormat="1" applyFont="1" applyFill="1" applyBorder="1" applyAlignment="1">
      <alignment horizontal="center"/>
    </xf>
    <xf numFmtId="168" fontId="3" fillId="3" borderId="0" xfId="3" applyNumberFormat="1" applyFont="1" applyFill="1" applyBorder="1" applyAlignment="1">
      <alignment horizontal="center"/>
    </xf>
    <xf numFmtId="9" fontId="3" fillId="2" borderId="7" xfId="3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14" fillId="0" borderId="19" xfId="0" applyFont="1" applyBorder="1" applyAlignment="1">
      <alignment vertical="center"/>
    </xf>
    <xf numFmtId="3" fontId="3" fillId="2" borderId="13" xfId="0" applyNumberFormat="1" applyFont="1" applyFill="1" applyBorder="1"/>
    <xf numFmtId="3" fontId="2" fillId="0" borderId="3" xfId="0" applyNumberFormat="1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" fontId="3" fillId="4" borderId="0" xfId="0" applyNumberFormat="1" applyFont="1" applyFill="1" applyBorder="1" applyAlignment="1">
      <alignment horizontal="center"/>
    </xf>
    <xf numFmtId="49" fontId="1" fillId="0" borderId="22" xfId="0" applyNumberFormat="1" applyFont="1" applyBorder="1" applyAlignment="1">
      <alignment horizontal="left" wrapText="1"/>
    </xf>
    <xf numFmtId="0" fontId="1" fillId="0" borderId="22" xfId="0" applyFont="1" applyBorder="1" applyAlignment="1">
      <alignment wrapText="1"/>
    </xf>
    <xf numFmtId="0" fontId="1" fillId="2" borderId="1" xfId="0" applyFont="1" applyFill="1" applyBorder="1"/>
    <xf numFmtId="0" fontId="1" fillId="2" borderId="3" xfId="0" applyFont="1" applyFill="1" applyBorder="1"/>
    <xf numFmtId="0" fontId="1" fillId="3" borderId="0" xfId="0" applyFont="1" applyFill="1" applyBorder="1" applyAlignment="1">
      <alignment horizontal="center"/>
    </xf>
    <xf numFmtId="164" fontId="0" fillId="0" borderId="0" xfId="0" applyNumberFormat="1"/>
    <xf numFmtId="174" fontId="0" fillId="0" borderId="0" xfId="0" applyNumberFormat="1"/>
    <xf numFmtId="0" fontId="1" fillId="2" borderId="0" xfId="0" applyFont="1" applyFill="1" applyBorder="1"/>
    <xf numFmtId="0" fontId="1" fillId="0" borderId="0" xfId="0" applyFont="1" applyBorder="1"/>
    <xf numFmtId="0" fontId="1" fillId="0" borderId="0" xfId="0" applyFont="1"/>
    <xf numFmtId="0" fontId="3" fillId="2" borderId="1" xfId="0" applyFont="1" applyFill="1" applyBorder="1" applyAlignment="1">
      <alignment shrinkToFit="1"/>
    </xf>
    <xf numFmtId="0" fontId="3" fillId="0" borderId="0" xfId="0" applyFont="1" applyBorder="1" applyAlignment="1">
      <alignment shrinkToFit="1"/>
    </xf>
    <xf numFmtId="0" fontId="1" fillId="2" borderId="29" xfId="0" applyFont="1" applyFill="1" applyBorder="1"/>
    <xf numFmtId="0" fontId="1" fillId="2" borderId="8" xfId="2" applyFont="1" applyFill="1" applyBorder="1"/>
    <xf numFmtId="0" fontId="1" fillId="2" borderId="8" xfId="0" applyFont="1" applyFill="1" applyBorder="1" applyAlignment="1">
      <alignment horizontal="left"/>
    </xf>
    <xf numFmtId="0" fontId="1" fillId="5" borderId="0" xfId="0" applyFont="1" applyFill="1" applyBorder="1"/>
    <xf numFmtId="0" fontId="6" fillId="5" borderId="0" xfId="0" applyFont="1" applyFill="1" applyBorder="1"/>
    <xf numFmtId="0" fontId="0" fillId="5" borderId="0" xfId="0" applyFont="1" applyFill="1" applyBorder="1"/>
    <xf numFmtId="0" fontId="1" fillId="2" borderId="31" xfId="0" applyFont="1" applyFill="1" applyBorder="1"/>
    <xf numFmtId="0" fontId="14" fillId="5" borderId="0" xfId="0" applyFont="1" applyFill="1" applyBorder="1"/>
    <xf numFmtId="0" fontId="2" fillId="5" borderId="0" xfId="0" applyFont="1" applyFill="1" applyBorder="1"/>
    <xf numFmtId="0" fontId="2" fillId="0" borderId="0" xfId="0" applyFont="1"/>
    <xf numFmtId="0" fontId="1" fillId="2" borderId="26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13" xfId="0" applyFont="1" applyFill="1" applyBorder="1"/>
    <xf numFmtId="0" fontId="1" fillId="2" borderId="15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left"/>
    </xf>
    <xf numFmtId="0" fontId="1" fillId="2" borderId="32" xfId="0" applyFont="1" applyFill="1" applyBorder="1" applyAlignment="1">
      <alignment horizontal="left"/>
    </xf>
    <xf numFmtId="167" fontId="0" fillId="0" borderId="0" xfId="0" applyNumberFormat="1"/>
    <xf numFmtId="0" fontId="1" fillId="2" borderId="33" xfId="0" applyFont="1" applyFill="1" applyBorder="1" applyAlignment="1">
      <alignment horizontal="center"/>
    </xf>
    <xf numFmtId="167" fontId="3" fillId="2" borderId="0" xfId="0" applyNumberFormat="1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11" fontId="3" fillId="2" borderId="0" xfId="0" applyNumberFormat="1" applyFont="1" applyFill="1" applyBorder="1" applyAlignment="1">
      <alignment horizontal="center"/>
    </xf>
    <xf numFmtId="0" fontId="1" fillId="3" borderId="0" xfId="3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28" xfId="0" applyFont="1" applyFill="1" applyBorder="1"/>
    <xf numFmtId="0" fontId="3" fillId="2" borderId="11" xfId="0" applyFont="1" applyFill="1" applyBorder="1"/>
    <xf numFmtId="0" fontId="3" fillId="2" borderId="25" xfId="0" applyFont="1" applyFill="1" applyBorder="1"/>
    <xf numFmtId="0" fontId="3" fillId="2" borderId="0" xfId="0" applyFont="1" applyFill="1" applyBorder="1"/>
    <xf numFmtId="0" fontId="3" fillId="2" borderId="22" xfId="0" applyFont="1" applyFill="1" applyBorder="1"/>
    <xf numFmtId="0" fontId="0" fillId="5" borderId="0" xfId="0" applyFill="1" applyBorder="1"/>
    <xf numFmtId="0" fontId="1" fillId="5" borderId="0" xfId="0" applyFont="1" applyFill="1" applyBorder="1"/>
    <xf numFmtId="0" fontId="1" fillId="2" borderId="11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1" fillId="5" borderId="0" xfId="0" applyFont="1" applyFill="1" applyBorder="1"/>
    <xf numFmtId="0" fontId="3" fillId="6" borderId="0" xfId="3" applyNumberFormat="1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3" fillId="7" borderId="0" xfId="3" applyNumberFormat="1" applyFont="1" applyFill="1" applyBorder="1" applyAlignment="1">
      <alignment horizontal="center"/>
    </xf>
    <xf numFmtId="11" fontId="3" fillId="6" borderId="0" xfId="3" applyNumberFormat="1" applyFont="1" applyFill="1" applyBorder="1" applyAlignment="1">
      <alignment horizontal="center"/>
    </xf>
    <xf numFmtId="0" fontId="1" fillId="2" borderId="20" xfId="2" applyFont="1" applyFill="1" applyBorder="1"/>
    <xf numFmtId="0" fontId="1" fillId="2" borderId="2" xfId="0" applyFont="1" applyFill="1" applyBorder="1"/>
    <xf numFmtId="1" fontId="3" fillId="5" borderId="0" xfId="0" applyNumberFormat="1" applyFont="1" applyFill="1" applyBorder="1" applyAlignment="1">
      <alignment horizontal="center"/>
    </xf>
    <xf numFmtId="0" fontId="1" fillId="4" borderId="0" xfId="3" applyNumberFormat="1" applyFont="1" applyFill="1" applyBorder="1" applyAlignment="1">
      <alignment horizontal="center"/>
    </xf>
    <xf numFmtId="9" fontId="3" fillId="4" borderId="0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1" fillId="5" borderId="4" xfId="0" applyFont="1" applyFill="1" applyBorder="1"/>
    <xf numFmtId="3" fontId="3" fillId="5" borderId="0" xfId="0" applyNumberFormat="1" applyFont="1" applyFill="1" applyBorder="1"/>
    <xf numFmtId="0" fontId="3" fillId="5" borderId="3" xfId="0" applyFont="1" applyFill="1" applyBorder="1"/>
    <xf numFmtId="0" fontId="0" fillId="5" borderId="22" xfId="0" applyFill="1" applyBorder="1"/>
    <xf numFmtId="0" fontId="1" fillId="2" borderId="2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left"/>
    </xf>
    <xf numFmtId="170" fontId="3" fillId="2" borderId="0" xfId="0" applyNumberFormat="1" applyFont="1" applyFill="1" applyBorder="1" applyAlignment="1">
      <alignment horizontal="center"/>
    </xf>
    <xf numFmtId="170" fontId="1" fillId="3" borderId="0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34" xfId="0" applyFont="1" applyFill="1" applyBorder="1"/>
    <xf numFmtId="0" fontId="3" fillId="5" borderId="0" xfId="0" applyFont="1" applyFill="1" applyBorder="1"/>
    <xf numFmtId="9" fontId="0" fillId="3" borderId="0" xfId="0" applyNumberFormat="1" applyFill="1" applyBorder="1" applyAlignment="1">
      <alignment horizontal="center"/>
    </xf>
    <xf numFmtId="0" fontId="3" fillId="5" borderId="0" xfId="3" applyNumberFormat="1" applyFont="1" applyFill="1" applyBorder="1" applyAlignment="1">
      <alignment horizontal="center"/>
    </xf>
    <xf numFmtId="0" fontId="1" fillId="5" borderId="0" xfId="3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shrinkToFit="1"/>
    </xf>
    <xf numFmtId="1" fontId="3" fillId="2" borderId="3" xfId="0" applyNumberFormat="1" applyFont="1" applyFill="1" applyBorder="1" applyAlignment="1">
      <alignment shrinkToFit="1"/>
    </xf>
    <xf numFmtId="1" fontId="3" fillId="2" borderId="1" xfId="0" applyNumberFormat="1" applyFont="1" applyFill="1" applyBorder="1" applyAlignment="1">
      <alignment shrinkToFit="1"/>
    </xf>
    <xf numFmtId="1" fontId="1" fillId="2" borderId="3" xfId="0" applyNumberFormat="1" applyFont="1" applyFill="1" applyBorder="1" applyAlignment="1">
      <alignment shrinkToFit="1"/>
    </xf>
    <xf numFmtId="3" fontId="2" fillId="2" borderId="0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shrinkToFit="1"/>
    </xf>
    <xf numFmtId="3" fontId="3" fillId="2" borderId="0" xfId="1" applyNumberFormat="1" applyFont="1" applyFill="1" applyBorder="1" applyAlignment="1">
      <alignment shrinkToFit="1"/>
    </xf>
    <xf numFmtId="3" fontId="3" fillId="2" borderId="2" xfId="1" applyNumberFormat="1" applyFont="1" applyFill="1" applyBorder="1"/>
    <xf numFmtId="0" fontId="11" fillId="6" borderId="0" xfId="0" applyFont="1" applyFill="1"/>
    <xf numFmtId="175" fontId="2" fillId="2" borderId="0" xfId="0" applyNumberFormat="1" applyFont="1" applyFill="1" applyBorder="1" applyAlignment="1">
      <alignment horizontal="center"/>
    </xf>
    <xf numFmtId="2" fontId="2" fillId="5" borderId="0" xfId="3" applyNumberFormat="1" applyFont="1" applyFill="1" applyBorder="1" applyAlignment="1">
      <alignment horizontal="center"/>
    </xf>
    <xf numFmtId="170" fontId="3" fillId="5" borderId="0" xfId="3" applyNumberFormat="1" applyFont="1" applyFill="1" applyBorder="1" applyAlignment="1">
      <alignment horizontal="center"/>
    </xf>
    <xf numFmtId="170" fontId="0" fillId="0" borderId="0" xfId="0" applyNumberFormat="1"/>
    <xf numFmtId="0" fontId="1" fillId="2" borderId="11" xfId="0" applyFont="1" applyFill="1" applyBorder="1" applyAlignment="1">
      <alignment horizontal="center"/>
    </xf>
    <xf numFmtId="0" fontId="2" fillId="5" borderId="2" xfId="3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8" xfId="0" applyFont="1" applyFill="1" applyBorder="1"/>
    <xf numFmtId="0" fontId="1" fillId="4" borderId="11" xfId="3" applyNumberFormat="1" applyFont="1" applyFill="1" applyBorder="1" applyAlignment="1">
      <alignment horizontal="center"/>
    </xf>
    <xf numFmtId="0" fontId="1" fillId="5" borderId="2" xfId="3" applyNumberFormat="1" applyFont="1" applyFill="1" applyBorder="1" applyAlignment="1">
      <alignment horizontal="center"/>
    </xf>
    <xf numFmtId="0" fontId="3" fillId="3" borderId="11" xfId="3" applyNumberFormat="1" applyFont="1" applyFill="1" applyBorder="1" applyAlignment="1">
      <alignment horizontal="center"/>
    </xf>
    <xf numFmtId="9" fontId="1" fillId="4" borderId="11" xfId="3" applyNumberFormat="1" applyFont="1" applyFill="1" applyBorder="1" applyAlignment="1">
      <alignment horizontal="center"/>
    </xf>
    <xf numFmtId="170" fontId="2" fillId="2" borderId="11" xfId="0" applyNumberFormat="1" applyFont="1" applyFill="1" applyBorder="1" applyAlignment="1">
      <alignment horizontal="center"/>
    </xf>
    <xf numFmtId="0" fontId="2" fillId="5" borderId="8" xfId="0" applyFont="1" applyFill="1" applyBorder="1"/>
    <xf numFmtId="11" fontId="3" fillId="5" borderId="0" xfId="3" applyNumberFormat="1" applyFont="1" applyFill="1" applyBorder="1" applyAlignment="1">
      <alignment horizontal="center"/>
    </xf>
    <xf numFmtId="10" fontId="3" fillId="2" borderId="0" xfId="0" applyNumberFormat="1" applyFont="1" applyFill="1" applyBorder="1" applyAlignment="1">
      <alignment horizontal="center"/>
    </xf>
    <xf numFmtId="0" fontId="10" fillId="0" borderId="27" xfId="0" applyFont="1" applyBorder="1"/>
    <xf numFmtId="0" fontId="10" fillId="4" borderId="35" xfId="0" applyFont="1" applyFill="1" applyBorder="1"/>
    <xf numFmtId="0" fontId="2" fillId="2" borderId="0" xfId="0" applyFont="1" applyFill="1" applyBorder="1"/>
    <xf numFmtId="0" fontId="1" fillId="2" borderId="0" xfId="2" applyFont="1" applyFill="1" applyBorder="1"/>
    <xf numFmtId="0" fontId="3" fillId="2" borderId="7" xfId="0" applyFont="1" applyFill="1" applyBorder="1" applyAlignment="1">
      <alignment horizontal="left"/>
    </xf>
    <xf numFmtId="0" fontId="1" fillId="2" borderId="26" xfId="2" applyFont="1" applyFill="1" applyBorder="1"/>
    <xf numFmtId="2" fontId="3" fillId="3" borderId="11" xfId="0" applyNumberFormat="1" applyFont="1" applyFill="1" applyBorder="1" applyAlignment="1">
      <alignment horizontal="center"/>
    </xf>
    <xf numFmtId="0" fontId="2" fillId="2" borderId="29" xfId="0" applyFont="1" applyFill="1" applyBorder="1"/>
    <xf numFmtId="9" fontId="2" fillId="3" borderId="11" xfId="0" applyNumberFormat="1" applyFont="1" applyFill="1" applyBorder="1" applyAlignment="1">
      <alignment horizontal="center"/>
    </xf>
    <xf numFmtId="171" fontId="1" fillId="2" borderId="2" xfId="3" applyNumberFormat="1" applyFill="1" applyBorder="1" applyAlignment="1">
      <alignment horizontal="center"/>
    </xf>
    <xf numFmtId="0" fontId="3" fillId="4" borderId="2" xfId="3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center"/>
    </xf>
    <xf numFmtId="0" fontId="2" fillId="5" borderId="7" xfId="0" applyFont="1" applyFill="1" applyBorder="1"/>
    <xf numFmtId="0" fontId="0" fillId="0" borderId="18" xfId="0" applyBorder="1"/>
    <xf numFmtId="0" fontId="1" fillId="2" borderId="36" xfId="0" applyFont="1" applyFill="1" applyBorder="1"/>
    <xf numFmtId="0" fontId="1" fillId="2" borderId="37" xfId="0" applyFont="1" applyFill="1" applyBorder="1"/>
    <xf numFmtId="2" fontId="13" fillId="2" borderId="37" xfId="0" applyNumberFormat="1" applyFont="1" applyFill="1" applyBorder="1" applyAlignment="1">
      <alignment horizontal="center"/>
    </xf>
    <xf numFmtId="0" fontId="1" fillId="0" borderId="8" xfId="0" applyFont="1" applyBorder="1"/>
    <xf numFmtId="0" fontId="2" fillId="3" borderId="8" xfId="0" applyFont="1" applyFill="1" applyBorder="1"/>
    <xf numFmtId="0" fontId="0" fillId="3" borderId="22" xfId="0" applyFill="1" applyBorder="1"/>
    <xf numFmtId="0" fontId="1" fillId="8" borderId="20" xfId="0" applyFont="1" applyFill="1" applyBorder="1"/>
    <xf numFmtId="0" fontId="0" fillId="8" borderId="21" xfId="0" applyFill="1" applyBorder="1"/>
    <xf numFmtId="0" fontId="9" fillId="9" borderId="22" xfId="0" applyFont="1" applyFill="1" applyBorder="1" applyAlignment="1">
      <alignment wrapText="1"/>
    </xf>
    <xf numFmtId="0" fontId="6" fillId="0" borderId="0" xfId="0" applyFont="1" applyFill="1" applyBorder="1"/>
    <xf numFmtId="1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4" borderId="0" xfId="3" applyNumberFormat="1" applyFont="1" applyFill="1" applyBorder="1" applyAlignment="1">
      <alignment horizontal="center"/>
    </xf>
    <xf numFmtId="0" fontId="1" fillId="2" borderId="7" xfId="0" applyFont="1" applyFill="1" applyBorder="1"/>
    <xf numFmtId="0" fontId="10" fillId="6" borderId="30" xfId="0" applyFont="1" applyFill="1" applyBorder="1" applyAlignment="1">
      <alignment horizontal="left"/>
    </xf>
    <xf numFmtId="0" fontId="1" fillId="2" borderId="2" xfId="0" applyFont="1" applyFill="1" applyBorder="1"/>
    <xf numFmtId="0" fontId="3" fillId="2" borderId="2" xfId="0" applyFont="1" applyFill="1" applyBorder="1"/>
    <xf numFmtId="0" fontId="3" fillId="2" borderId="28" xfId="0" applyFont="1" applyFill="1" applyBorder="1"/>
    <xf numFmtId="0" fontId="1" fillId="2" borderId="11" xfId="0" applyFont="1" applyFill="1" applyBorder="1"/>
    <xf numFmtId="0" fontId="3" fillId="2" borderId="11" xfId="0" applyFont="1" applyFill="1" applyBorder="1"/>
    <xf numFmtId="0" fontId="3" fillId="2" borderId="25" xfId="0" applyFont="1" applyFill="1" applyBorder="1"/>
    <xf numFmtId="0" fontId="1" fillId="5" borderId="0" xfId="0" applyFont="1" applyFill="1" applyBorder="1"/>
    <xf numFmtId="0" fontId="0" fillId="5" borderId="0" xfId="0" applyFill="1" applyBorder="1"/>
    <xf numFmtId="0" fontId="0" fillId="5" borderId="22" xfId="0" applyFill="1" applyBorder="1"/>
    <xf numFmtId="0" fontId="1" fillId="2" borderId="0" xfId="0" applyFont="1" applyFill="1" applyBorder="1"/>
    <xf numFmtId="0" fontId="3" fillId="2" borderId="0" xfId="0" applyFont="1" applyFill="1" applyBorder="1"/>
    <xf numFmtId="0" fontId="3" fillId="2" borderId="22" xfId="0" applyFont="1" applyFill="1" applyBorder="1"/>
    <xf numFmtId="0" fontId="3" fillId="5" borderId="0" xfId="0" applyFont="1" applyFill="1" applyBorder="1"/>
    <xf numFmtId="0" fontId="3" fillId="5" borderId="22" xfId="0" applyFont="1" applyFill="1" applyBorder="1"/>
    <xf numFmtId="0" fontId="1" fillId="2" borderId="26" xfId="0" applyFont="1" applyFill="1" applyBorder="1"/>
    <xf numFmtId="0" fontId="3" fillId="2" borderId="26" xfId="0" applyFont="1" applyFill="1" applyBorder="1"/>
    <xf numFmtId="0" fontId="3" fillId="2" borderId="21" xfId="0" applyFont="1" applyFill="1" applyBorder="1"/>
    <xf numFmtId="0" fontId="0" fillId="2" borderId="22" xfId="0" applyFill="1" applyBorder="1"/>
    <xf numFmtId="0" fontId="4" fillId="2" borderId="23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/>
    </xf>
    <xf numFmtId="0" fontId="1" fillId="2" borderId="25" xfId="0" applyFont="1" applyFill="1" applyBorder="1"/>
  </cellXfs>
  <cellStyles count="4">
    <cellStyle name="Comma" xfId="1" builtinId="3"/>
    <cellStyle name="Normal" xfId="0" builtinId="0"/>
    <cellStyle name="Normal_factsheet01" xfId="2"/>
    <cellStyle name="Percent" xfId="3" builtinId="5"/>
  </cellStyles>
  <dxfs count="2">
    <dxf>
      <font>
        <color rgb="FF006100"/>
      </font>
      <fill>
        <patternFill>
          <bgColor rgb="FF92D050"/>
        </patternFill>
      </fill>
    </dxf>
    <dxf>
      <fill>
        <patternFill>
          <bgColor rgb="FFCCFF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16</xdr:row>
      <xdr:rowOff>57150</xdr:rowOff>
    </xdr:from>
    <xdr:to>
      <xdr:col>2</xdr:col>
      <xdr:colOff>4529142</xdr:colOff>
      <xdr:row>23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5" y="3152775"/>
          <a:ext cx="5453067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P28"/>
  <sheetViews>
    <sheetView topLeftCell="A4" workbookViewId="0">
      <selection activeCell="G10" sqref="G10"/>
    </sheetView>
  </sheetViews>
  <sheetFormatPr defaultRowHeight="12.75" x14ac:dyDescent="0.2"/>
  <cols>
    <col min="1" max="1" width="11.42578125" style="7" customWidth="1"/>
    <col min="2" max="2" width="15.42578125" style="7" customWidth="1"/>
    <col min="3" max="3" width="69.28515625" style="7" customWidth="1"/>
    <col min="4" max="256" width="11.42578125" style="7" customWidth="1"/>
    <col min="257" max="16384" width="9.140625" style="7"/>
  </cols>
  <sheetData>
    <row r="1" spans="2:16" s="55" customFormat="1" ht="26.25" customHeight="1" thickBot="1" x14ac:dyDescent="0.25">
      <c r="E1" s="56"/>
      <c r="F1" s="57"/>
      <c r="K1" s="58"/>
      <c r="L1" s="58"/>
      <c r="M1" s="58"/>
      <c r="N1" s="58"/>
      <c r="O1" s="58"/>
      <c r="P1" s="58"/>
    </row>
    <row r="2" spans="2:16" s="55" customFormat="1" ht="17.25" customHeight="1" x14ac:dyDescent="0.2">
      <c r="B2" s="69"/>
      <c r="C2" s="104" t="s">
        <v>195</v>
      </c>
      <c r="K2" s="58"/>
      <c r="L2" s="58"/>
      <c r="M2" s="58"/>
      <c r="N2" s="58"/>
      <c r="O2" s="58"/>
      <c r="P2" s="58"/>
    </row>
    <row r="3" spans="2:16" s="55" customFormat="1" ht="33" customHeight="1" x14ac:dyDescent="0.25">
      <c r="B3" s="70"/>
      <c r="C3" s="234" t="s">
        <v>199</v>
      </c>
      <c r="E3" s="57"/>
      <c r="F3" s="57"/>
      <c r="J3" s="59"/>
      <c r="K3" s="60"/>
      <c r="L3" s="61"/>
      <c r="M3" s="61"/>
      <c r="N3" s="62"/>
      <c r="O3" s="61"/>
      <c r="P3" s="61"/>
    </row>
    <row r="4" spans="2:16" x14ac:dyDescent="0.2">
      <c r="B4" s="71"/>
      <c r="C4" s="72"/>
    </row>
    <row r="5" spans="2:16" x14ac:dyDescent="0.2">
      <c r="B5" s="71"/>
      <c r="C5" s="72"/>
    </row>
    <row r="6" spans="2:16" x14ac:dyDescent="0.2">
      <c r="B6" s="71" t="s">
        <v>48</v>
      </c>
      <c r="C6" s="111" t="s">
        <v>207</v>
      </c>
    </row>
    <row r="7" spans="2:16" x14ac:dyDescent="0.2">
      <c r="B7" s="71" t="s">
        <v>49</v>
      </c>
      <c r="C7" s="110" t="s">
        <v>194</v>
      </c>
    </row>
    <row r="8" spans="2:16" ht="25.5" x14ac:dyDescent="0.2">
      <c r="B8" s="229" t="s">
        <v>201</v>
      </c>
      <c r="C8" s="111" t="s">
        <v>200</v>
      </c>
    </row>
    <row r="9" spans="2:16" x14ac:dyDescent="0.2">
      <c r="B9" s="229" t="s">
        <v>196</v>
      </c>
      <c r="C9" s="111">
        <v>2012.1</v>
      </c>
    </row>
    <row r="10" spans="2:16" x14ac:dyDescent="0.2">
      <c r="B10" s="71"/>
      <c r="C10" s="73"/>
    </row>
    <row r="11" spans="2:16" x14ac:dyDescent="0.2">
      <c r="B11" s="74" t="s">
        <v>3</v>
      </c>
      <c r="C11" s="73" t="s">
        <v>50</v>
      </c>
    </row>
    <row r="12" spans="2:16" ht="13.5" thickBot="1" x14ac:dyDescent="0.25">
      <c r="B12" s="75" t="s">
        <v>51</v>
      </c>
      <c r="C12" s="76"/>
    </row>
    <row r="13" spans="2:16" x14ac:dyDescent="0.2">
      <c r="B13" s="49" t="s">
        <v>47</v>
      </c>
      <c r="C13" s="50"/>
    </row>
    <row r="14" spans="2:16" x14ac:dyDescent="0.2">
      <c r="B14" s="230" t="s">
        <v>46</v>
      </c>
      <c r="C14" s="231"/>
    </row>
    <row r="15" spans="2:16" ht="13.5" thickBot="1" x14ac:dyDescent="0.25">
      <c r="B15" s="232" t="s">
        <v>197</v>
      </c>
      <c r="C15" s="233"/>
    </row>
    <row r="16" spans="2:16" x14ac:dyDescent="0.2">
      <c r="B16" s="71"/>
      <c r="C16" s="72"/>
    </row>
    <row r="17" spans="2:3" x14ac:dyDescent="0.2">
      <c r="B17" s="71"/>
      <c r="C17" s="72"/>
    </row>
    <row r="18" spans="2:3" x14ac:dyDescent="0.2">
      <c r="B18" s="71"/>
      <c r="C18" s="72"/>
    </row>
    <row r="19" spans="2:3" x14ac:dyDescent="0.2">
      <c r="B19" s="71"/>
      <c r="C19" s="72"/>
    </row>
    <row r="20" spans="2:3" x14ac:dyDescent="0.2">
      <c r="B20" s="71"/>
      <c r="C20" s="72"/>
    </row>
    <row r="21" spans="2:3" x14ac:dyDescent="0.2">
      <c r="B21" s="71"/>
      <c r="C21" s="72"/>
    </row>
    <row r="22" spans="2:3" x14ac:dyDescent="0.2">
      <c r="B22" s="71"/>
      <c r="C22" s="72"/>
    </row>
    <row r="23" spans="2:3" x14ac:dyDescent="0.2">
      <c r="B23" s="71"/>
      <c r="C23" s="72"/>
    </row>
    <row r="24" spans="2:3" x14ac:dyDescent="0.2">
      <c r="B24" s="71"/>
      <c r="C24" s="72"/>
    </row>
    <row r="25" spans="2:3" x14ac:dyDescent="0.2">
      <c r="B25" s="71"/>
      <c r="C25" s="72"/>
    </row>
    <row r="26" spans="2:3" x14ac:dyDescent="0.2">
      <c r="B26" s="71"/>
      <c r="C26" s="72"/>
    </row>
    <row r="27" spans="2:3" x14ac:dyDescent="0.2">
      <c r="B27" s="71"/>
      <c r="C27" s="72"/>
    </row>
    <row r="28" spans="2:3" ht="13.5" thickBot="1" x14ac:dyDescent="0.25">
      <c r="B28" s="77"/>
      <c r="C28" s="78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AC70"/>
  <sheetViews>
    <sheetView tabSelected="1" zoomScale="86" zoomScaleNormal="86" workbookViewId="0">
      <selection activeCell="D6" sqref="D6"/>
    </sheetView>
  </sheetViews>
  <sheetFormatPr defaultColWidth="8.85546875" defaultRowHeight="12.75" x14ac:dyDescent="0.2"/>
  <cols>
    <col min="1" max="1" width="0.85546875" customWidth="1"/>
    <col min="2" max="2" width="41.42578125" bestFit="1" customWidth="1"/>
    <col min="3" max="3" width="6.7109375" bestFit="1" customWidth="1"/>
    <col min="4" max="4" width="12.42578125" style="84" customWidth="1"/>
    <col min="5" max="5" width="17.42578125" style="84" bestFit="1" customWidth="1"/>
    <col min="6" max="6" width="19.28515625" customWidth="1"/>
    <col min="7" max="7" width="28.7109375" style="84" customWidth="1"/>
    <col min="8" max="8" width="30.42578125" customWidth="1"/>
    <col min="9" max="9" width="4.28515625" customWidth="1"/>
    <col min="10" max="10" width="30.85546875" customWidth="1"/>
    <col min="11" max="11" width="11.42578125" customWidth="1"/>
    <col min="12" max="12" width="12" bestFit="1" customWidth="1"/>
  </cols>
  <sheetData>
    <row r="1" spans="1:29" s="63" customFormat="1" ht="18.75" thickBot="1" x14ac:dyDescent="0.3">
      <c r="A1" s="63" t="str">
        <f>Colofon!C2</f>
        <v>Calculation of LCOE of renewable heat and electricity</v>
      </c>
      <c r="B1" s="64"/>
      <c r="C1" s="64"/>
      <c r="D1" s="82"/>
      <c r="E1" s="82"/>
      <c r="F1" s="64"/>
      <c r="G1" s="82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5"/>
    </row>
    <row r="2" spans="1:29" s="66" customFormat="1" ht="24" thickBot="1" x14ac:dyDescent="0.4">
      <c r="A2" s="66" t="str">
        <f>Colofon!C3</f>
        <v>Geothermal electricity and heat</v>
      </c>
      <c r="B2" s="67" t="s">
        <v>138</v>
      </c>
      <c r="C2" s="67"/>
      <c r="D2" s="83"/>
      <c r="E2" s="240" t="s">
        <v>105</v>
      </c>
      <c r="F2" s="211"/>
      <c r="G2" s="212" t="s">
        <v>214</v>
      </c>
      <c r="H2" s="67"/>
      <c r="I2" s="67"/>
      <c r="J2" s="67" t="s">
        <v>52</v>
      </c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8"/>
    </row>
    <row r="3" spans="1:29" ht="13.5" thickBot="1" x14ac:dyDescent="0.25">
      <c r="J3" s="131" t="s">
        <v>53</v>
      </c>
      <c r="K3" s="131" t="s">
        <v>25</v>
      </c>
      <c r="L3" s="131" t="s">
        <v>26</v>
      </c>
    </row>
    <row r="4" spans="1:29" x14ac:dyDescent="0.2">
      <c r="A4" s="7"/>
      <c r="B4" s="20" t="s">
        <v>28</v>
      </c>
      <c r="C4" s="155" t="s">
        <v>86</v>
      </c>
      <c r="D4" s="85" t="s">
        <v>25</v>
      </c>
      <c r="E4" s="85" t="s">
        <v>26</v>
      </c>
      <c r="F4" s="259" t="s">
        <v>27</v>
      </c>
      <c r="G4" s="259"/>
      <c r="H4" s="260"/>
      <c r="J4" s="153" t="s">
        <v>8</v>
      </c>
      <c r="K4" s="94">
        <v>4250</v>
      </c>
      <c r="L4" s="133" t="s">
        <v>29</v>
      </c>
      <c r="Q4" s="119"/>
      <c r="R4" s="119"/>
    </row>
    <row r="5" spans="1:29" ht="16.5" x14ac:dyDescent="0.25">
      <c r="A5" s="7"/>
      <c r="B5" s="81" t="s">
        <v>4</v>
      </c>
      <c r="C5" s="117">
        <v>1</v>
      </c>
      <c r="D5" s="109">
        <v>70</v>
      </c>
      <c r="E5" s="107" t="s">
        <v>5</v>
      </c>
      <c r="F5" s="244" t="s">
        <v>68</v>
      </c>
      <c r="G5" s="245"/>
      <c r="H5" s="246"/>
      <c r="J5" s="129" t="s">
        <v>9</v>
      </c>
      <c r="K5" s="94">
        <v>1078</v>
      </c>
      <c r="L5" s="133" t="s">
        <v>30</v>
      </c>
      <c r="R5" s="140"/>
    </row>
    <row r="6" spans="1:29" ht="16.5" x14ac:dyDescent="0.25">
      <c r="A6" s="7"/>
      <c r="B6" s="81" t="s">
        <v>61</v>
      </c>
      <c r="C6" s="117">
        <v>1</v>
      </c>
      <c r="D6" s="109">
        <v>5000</v>
      </c>
      <c r="E6" s="107" t="s">
        <v>12</v>
      </c>
      <c r="F6" s="117" t="s">
        <v>67</v>
      </c>
      <c r="G6" s="150"/>
      <c r="H6" s="151"/>
      <c r="J6" s="129"/>
      <c r="K6" s="94"/>
      <c r="L6" s="133"/>
      <c r="R6" s="140"/>
    </row>
    <row r="7" spans="1:29" x14ac:dyDescent="0.2">
      <c r="A7" s="118"/>
      <c r="B7" s="81" t="s">
        <v>7</v>
      </c>
      <c r="C7" s="117">
        <v>1</v>
      </c>
      <c r="D7" s="109">
        <v>10</v>
      </c>
      <c r="E7" s="107" t="s">
        <v>6</v>
      </c>
      <c r="F7" s="250" t="s">
        <v>148</v>
      </c>
      <c r="G7" s="251"/>
      <c r="H7" s="252"/>
      <c r="J7" s="125" t="s">
        <v>10</v>
      </c>
      <c r="K7" s="94">
        <v>1000</v>
      </c>
      <c r="L7" s="133" t="s">
        <v>29</v>
      </c>
      <c r="R7" s="140"/>
    </row>
    <row r="8" spans="1:29" ht="16.5" x14ac:dyDescent="0.25">
      <c r="A8" s="7"/>
      <c r="B8" s="81" t="s">
        <v>158</v>
      </c>
      <c r="C8" s="117">
        <v>1</v>
      </c>
      <c r="D8" s="109">
        <v>200</v>
      </c>
      <c r="E8" s="107" t="s">
        <v>6</v>
      </c>
      <c r="F8" s="117" t="s">
        <v>69</v>
      </c>
      <c r="G8" s="150"/>
      <c r="H8" s="151"/>
      <c r="J8" s="129" t="s">
        <v>11</v>
      </c>
      <c r="K8" s="94">
        <v>2700</v>
      </c>
      <c r="L8" s="133" t="s">
        <v>30</v>
      </c>
      <c r="R8" s="140"/>
    </row>
    <row r="9" spans="1:29" ht="15.75" customHeight="1" x14ac:dyDescent="0.2">
      <c r="A9" s="7"/>
      <c r="B9" s="81" t="s">
        <v>15</v>
      </c>
      <c r="C9" s="117">
        <v>1</v>
      </c>
      <c r="D9" s="91">
        <v>30</v>
      </c>
      <c r="E9" s="107" t="s">
        <v>16</v>
      </c>
      <c r="F9" s="241" t="s">
        <v>149</v>
      </c>
      <c r="G9" s="242"/>
      <c r="H9" s="243"/>
      <c r="R9" s="140"/>
    </row>
    <row r="10" spans="1:29" ht="15.75" x14ac:dyDescent="0.25">
      <c r="A10" s="7"/>
      <c r="B10" s="201" t="s">
        <v>140</v>
      </c>
      <c r="C10" s="224"/>
      <c r="D10" s="93"/>
      <c r="E10" s="87"/>
      <c r="F10" s="22"/>
      <c r="G10" s="87"/>
      <c r="H10" s="24"/>
      <c r="J10" s="193" t="s">
        <v>54</v>
      </c>
      <c r="K10" s="157"/>
      <c r="L10" s="158"/>
      <c r="R10" s="140"/>
    </row>
    <row r="11" spans="1:29" x14ac:dyDescent="0.2">
      <c r="A11" s="7"/>
      <c r="B11" s="122" t="s">
        <v>62</v>
      </c>
      <c r="C11" s="178">
        <v>1</v>
      </c>
      <c r="D11" s="176">
        <v>1.5</v>
      </c>
      <c r="E11" s="198" t="str">
        <f>"-"</f>
        <v>-</v>
      </c>
      <c r="F11" s="178" t="s">
        <v>72</v>
      </c>
      <c r="G11" s="148"/>
      <c r="H11" s="149"/>
      <c r="J11" s="153" t="s">
        <v>56</v>
      </c>
      <c r="K11" s="159">
        <v>0.6</v>
      </c>
      <c r="L11" s="198" t="str">
        <f>"-"</f>
        <v>-</v>
      </c>
      <c r="R11" s="140"/>
    </row>
    <row r="12" spans="1:29" x14ac:dyDescent="0.2">
      <c r="A12" s="7"/>
      <c r="B12" s="81" t="s">
        <v>73</v>
      </c>
      <c r="C12" s="117">
        <v>1</v>
      </c>
      <c r="D12" s="143">
        <f>wellcostscaling*(0.2*depth^2+700*depth+250000)*10^-6</f>
        <v>13.125</v>
      </c>
      <c r="E12" s="107" t="s">
        <v>139</v>
      </c>
      <c r="F12" s="117" t="s">
        <v>151</v>
      </c>
      <c r="G12" s="150"/>
      <c r="H12" s="151"/>
      <c r="J12" s="125" t="s">
        <v>55</v>
      </c>
      <c r="K12" s="142">
        <f>(Tx-Ts)/(Tx+Ts+2*273.15)*K11</f>
        <v>0.15073383577945262</v>
      </c>
      <c r="L12" s="198" t="str">
        <f>"-"</f>
        <v>-</v>
      </c>
      <c r="R12" s="140"/>
    </row>
    <row r="13" spans="1:29" ht="14.25" x14ac:dyDescent="0.2">
      <c r="A13" s="7"/>
      <c r="B13" s="81" t="s">
        <v>183</v>
      </c>
      <c r="C13" s="117">
        <v>1</v>
      </c>
      <c r="D13" s="114">
        <v>10</v>
      </c>
      <c r="E13" s="107" t="s">
        <v>139</v>
      </c>
      <c r="F13" s="117" t="s">
        <v>184</v>
      </c>
      <c r="G13" s="150"/>
      <c r="H13" s="151"/>
      <c r="J13" s="126" t="s">
        <v>57</v>
      </c>
      <c r="K13" s="94">
        <v>80</v>
      </c>
      <c r="L13" s="133" t="s">
        <v>6</v>
      </c>
      <c r="R13" s="140"/>
    </row>
    <row r="14" spans="1:29" ht="16.5" customHeight="1" x14ac:dyDescent="0.2">
      <c r="A14" s="7"/>
      <c r="B14" s="81" t="s">
        <v>19</v>
      </c>
      <c r="C14" s="117">
        <v>1</v>
      </c>
      <c r="D14" s="94">
        <v>0.6</v>
      </c>
      <c r="E14" s="107" t="s">
        <v>65</v>
      </c>
      <c r="F14" s="250" t="s">
        <v>208</v>
      </c>
      <c r="G14" s="251"/>
      <c r="H14" s="252"/>
      <c r="J14" s="126" t="s">
        <v>157</v>
      </c>
      <c r="K14" s="143">
        <f>IF(ooperation_choice="heat",Tx,MIN(Ts+K13,Tx))</f>
        <v>90</v>
      </c>
      <c r="L14" s="133" t="s">
        <v>6</v>
      </c>
      <c r="R14" s="140"/>
    </row>
    <row r="15" spans="1:29" ht="13.5" customHeight="1" x14ac:dyDescent="0.2">
      <c r="A15" s="7"/>
      <c r="B15" s="81" t="s">
        <v>63</v>
      </c>
      <c r="C15" s="117">
        <v>1</v>
      </c>
      <c r="D15" s="94">
        <v>2</v>
      </c>
      <c r="E15" s="86" t="str">
        <f>"-"</f>
        <v>-</v>
      </c>
      <c r="F15" s="117" t="s">
        <v>74</v>
      </c>
      <c r="G15" s="150"/>
      <c r="H15" s="151"/>
      <c r="J15" s="235"/>
      <c r="K15" s="236"/>
      <c r="L15" s="237"/>
      <c r="R15" s="140"/>
    </row>
    <row r="16" spans="1:29" ht="15.75" x14ac:dyDescent="0.25">
      <c r="A16" s="7"/>
      <c r="B16" s="179" t="s">
        <v>129</v>
      </c>
      <c r="C16" s="162">
        <v>1</v>
      </c>
      <c r="D16" s="199">
        <f>(StimCosts+DrillCosts)*nrofwells+pumpcost2</f>
        <v>46.85</v>
      </c>
      <c r="E16" s="200" t="s">
        <v>130</v>
      </c>
      <c r="F16" s="162" t="s">
        <v>150</v>
      </c>
      <c r="G16" s="146"/>
      <c r="H16" s="147"/>
      <c r="J16" s="193" t="s">
        <v>202</v>
      </c>
      <c r="K16" s="157"/>
      <c r="L16" s="158"/>
      <c r="R16" s="140"/>
    </row>
    <row r="17" spans="1:18" x14ac:dyDescent="0.2">
      <c r="B17" s="202" t="s">
        <v>141</v>
      </c>
      <c r="C17" s="213"/>
      <c r="D17" s="182"/>
      <c r="E17" s="86"/>
      <c r="F17" s="117"/>
      <c r="G17" s="150"/>
      <c r="H17" s="151"/>
      <c r="J17" s="156" t="s">
        <v>203</v>
      </c>
      <c r="K17" s="159">
        <v>1</v>
      </c>
      <c r="L17" s="198" t="str">
        <f>"-"</f>
        <v>-</v>
      </c>
    </row>
    <row r="18" spans="1:18" x14ac:dyDescent="0.2">
      <c r="B18" s="122" t="s">
        <v>121</v>
      </c>
      <c r="C18" s="178">
        <v>1</v>
      </c>
      <c r="D18" s="203">
        <v>50</v>
      </c>
      <c r="E18" s="198" t="str">
        <f>"-"</f>
        <v>-</v>
      </c>
      <c r="F18" s="178" t="s">
        <v>211</v>
      </c>
      <c r="G18" s="148"/>
      <c r="H18" s="149"/>
    </row>
    <row r="19" spans="1:18" ht="15.75" x14ac:dyDescent="0.25">
      <c r="B19" s="81" t="s">
        <v>122</v>
      </c>
      <c r="C19" s="117">
        <v>1</v>
      </c>
      <c r="D19" s="164">
        <v>110</v>
      </c>
      <c r="E19" s="107" t="s">
        <v>142</v>
      </c>
      <c r="F19" s="117" t="s">
        <v>152</v>
      </c>
      <c r="G19" s="150"/>
      <c r="H19" s="151"/>
      <c r="I19" s="7"/>
      <c r="J19" s="193" t="s">
        <v>58</v>
      </c>
    </row>
    <row r="20" spans="1:18" x14ac:dyDescent="0.2">
      <c r="A20" s="7"/>
      <c r="B20" s="179" t="s">
        <v>18</v>
      </c>
      <c r="C20" s="162">
        <v>1</v>
      </c>
      <c r="D20" s="204">
        <f>D19/D18</f>
        <v>2.2000000000000002</v>
      </c>
      <c r="E20" s="200" t="s">
        <v>143</v>
      </c>
      <c r="F20" s="241" t="s">
        <v>192</v>
      </c>
      <c r="G20" s="242"/>
      <c r="H20" s="243"/>
      <c r="I20" s="7"/>
      <c r="J20" s="127" t="s">
        <v>13</v>
      </c>
      <c r="K20" s="144">
        <f>60*60*24*365.25</f>
        <v>31557600</v>
      </c>
      <c r="L20" s="133" t="s">
        <v>31</v>
      </c>
      <c r="R20" s="140"/>
    </row>
    <row r="21" spans="1:18" x14ac:dyDescent="0.2">
      <c r="A21" s="7"/>
      <c r="B21" s="208" t="s">
        <v>145</v>
      </c>
      <c r="C21" s="130"/>
      <c r="D21" s="223"/>
      <c r="E21" s="223"/>
      <c r="F21" s="152"/>
      <c r="G21" s="223"/>
      <c r="H21" s="170"/>
      <c r="J21" s="127" t="s">
        <v>14</v>
      </c>
      <c r="K21" s="144">
        <f>K20*30</f>
        <v>946728000</v>
      </c>
      <c r="L21" s="133" t="s">
        <v>31</v>
      </c>
    </row>
    <row r="22" spans="1:18" ht="15.75" x14ac:dyDescent="0.25">
      <c r="A22" s="7"/>
      <c r="B22" s="122" t="s">
        <v>144</v>
      </c>
      <c r="C22" s="178">
        <f>IF(ooperation_choice="power",0,1)</f>
        <v>0</v>
      </c>
      <c r="D22" s="206">
        <v>0</v>
      </c>
      <c r="E22" s="198" t="s">
        <v>166</v>
      </c>
      <c r="F22" s="178" t="s">
        <v>174</v>
      </c>
      <c r="G22" s="148"/>
      <c r="H22" s="149"/>
      <c r="J22" s="193" t="s">
        <v>59</v>
      </c>
      <c r="K22" s="160"/>
      <c r="L22" s="158"/>
    </row>
    <row r="23" spans="1:18" x14ac:dyDescent="0.2">
      <c r="A23" s="7"/>
      <c r="B23" s="179" t="s">
        <v>168</v>
      </c>
      <c r="C23" s="162">
        <f>IF(ooperation_choice="heat",0,1)</f>
        <v>1</v>
      </c>
      <c r="D23" s="204">
        <f>IF(ooperation_choice="power-coheat",Tbase+D22*(Tx-Tbase),Tbase)</f>
        <v>90</v>
      </c>
      <c r="E23" s="200" t="s">
        <v>6</v>
      </c>
      <c r="F23" s="162" t="s">
        <v>175</v>
      </c>
      <c r="G23" s="146"/>
      <c r="H23" s="147"/>
      <c r="J23" s="153" t="s">
        <v>155</v>
      </c>
      <c r="K23" s="145">
        <v>4.5</v>
      </c>
      <c r="L23" s="133" t="s">
        <v>153</v>
      </c>
    </row>
    <row r="24" spans="1:18" ht="14.25" customHeight="1" x14ac:dyDescent="0.2">
      <c r="A24" s="7"/>
      <c r="B24" s="202" t="s">
        <v>164</v>
      </c>
      <c r="C24" s="213"/>
      <c r="D24" s="183"/>
      <c r="E24" s="107"/>
      <c r="F24" s="150"/>
      <c r="G24" s="150"/>
      <c r="H24" s="151"/>
      <c r="I24" s="7"/>
      <c r="J24" s="153" t="s">
        <v>156</v>
      </c>
      <c r="K24" s="145">
        <v>100</v>
      </c>
      <c r="L24" s="133" t="s">
        <v>12</v>
      </c>
    </row>
    <row r="25" spans="1:18" x14ac:dyDescent="0.2">
      <c r="A25" s="7"/>
      <c r="B25" s="122" t="s">
        <v>104</v>
      </c>
      <c r="C25" s="178">
        <f>IF(ooperation_choice="heat",0,1)</f>
        <v>1</v>
      </c>
      <c r="D25" s="207">
        <f>flowrate*Cpwater*Rhowater*(Tx-toutlet)*10^-9</f>
        <v>35.277550000000005</v>
      </c>
      <c r="E25" s="198" t="s">
        <v>108</v>
      </c>
      <c r="F25" s="244" t="s">
        <v>70</v>
      </c>
      <c r="G25" s="244"/>
      <c r="H25" s="261"/>
      <c r="I25" s="7"/>
      <c r="J25" s="125" t="s">
        <v>60</v>
      </c>
      <c r="K25" s="209">
        <f>K23*1000000*K24</f>
        <v>450000000</v>
      </c>
      <c r="L25" s="133" t="s">
        <v>32</v>
      </c>
    </row>
    <row r="26" spans="1:18" x14ac:dyDescent="0.2">
      <c r="A26" s="7"/>
      <c r="B26" s="81" t="s">
        <v>103</v>
      </c>
      <c r="C26" s="117"/>
      <c r="D26" s="174">
        <f>D25*Efficiency</f>
        <v>5.3175204284014299</v>
      </c>
      <c r="E26" s="107" t="s">
        <v>88</v>
      </c>
      <c r="F26" s="250" t="s">
        <v>70</v>
      </c>
      <c r="G26" s="251"/>
      <c r="H26" s="252"/>
      <c r="I26" s="7"/>
      <c r="J26" s="125" t="s">
        <v>154</v>
      </c>
      <c r="K26" s="210">
        <f>(flowrate*0.001*Rhowater*Cpwater)/(K25*Rhorock*Cprock*(1/K21))</f>
        <v>0.24989333600000005</v>
      </c>
      <c r="L26" s="133"/>
    </row>
    <row r="27" spans="1:18" x14ac:dyDescent="0.2">
      <c r="A27" s="7"/>
      <c r="B27" s="81" t="s">
        <v>107</v>
      </c>
      <c r="C27" s="117">
        <f t="shared" ref="C27:C35" si="0">IF(ooperation_choice="heat",0,1)</f>
        <v>1</v>
      </c>
      <c r="D27" s="90">
        <v>8000</v>
      </c>
      <c r="E27" s="107" t="s">
        <v>17</v>
      </c>
      <c r="F27" s="117" t="s">
        <v>102</v>
      </c>
      <c r="G27" s="150"/>
      <c r="H27" s="151"/>
      <c r="I27" s="7"/>
    </row>
    <row r="28" spans="1:18" x14ac:dyDescent="0.2">
      <c r="A28" s="7"/>
      <c r="B28" s="81" t="s">
        <v>137</v>
      </c>
      <c r="C28" s="117">
        <f t="shared" si="0"/>
        <v>1</v>
      </c>
      <c r="D28" s="175">
        <v>3</v>
      </c>
      <c r="E28" s="86" t="str">
        <f>"mln Euro/" &amp;E26</f>
        <v>mln Euro/MWe</v>
      </c>
      <c r="F28" s="250" t="s">
        <v>71</v>
      </c>
      <c r="G28" s="251"/>
      <c r="H28" s="252"/>
      <c r="I28" s="7"/>
      <c r="M28" s="1"/>
    </row>
    <row r="29" spans="1:18" ht="15.75" customHeight="1" x14ac:dyDescent="0.2">
      <c r="A29" s="7"/>
      <c r="B29" s="81" t="s">
        <v>136</v>
      </c>
      <c r="C29" s="117">
        <f t="shared" si="0"/>
        <v>1</v>
      </c>
      <c r="D29" s="91">
        <v>5000</v>
      </c>
      <c r="E29" s="107" t="s">
        <v>12</v>
      </c>
      <c r="F29" s="117" t="s">
        <v>160</v>
      </c>
      <c r="G29" s="150"/>
      <c r="H29" s="151"/>
      <c r="I29" s="7"/>
      <c r="J29" s="131"/>
      <c r="M29" s="1"/>
    </row>
    <row r="30" spans="1:18" x14ac:dyDescent="0.2">
      <c r="A30" s="7"/>
      <c r="B30" s="81" t="s">
        <v>134</v>
      </c>
      <c r="C30" s="117">
        <f t="shared" si="0"/>
        <v>1</v>
      </c>
      <c r="D30" s="94">
        <v>80</v>
      </c>
      <c r="E30" s="107" t="s">
        <v>2</v>
      </c>
      <c r="F30" s="117" t="s">
        <v>161</v>
      </c>
      <c r="G30" s="150"/>
      <c r="H30" s="151"/>
      <c r="I30" s="7"/>
      <c r="J30" s="119"/>
      <c r="M30" s="5"/>
    </row>
    <row r="31" spans="1:18" x14ac:dyDescent="0.2">
      <c r="A31" s="7"/>
      <c r="B31" s="81" t="s">
        <v>135</v>
      </c>
      <c r="C31" s="117">
        <f t="shared" si="0"/>
        <v>1</v>
      </c>
      <c r="D31" s="94">
        <v>100</v>
      </c>
      <c r="E31" s="107" t="s">
        <v>42</v>
      </c>
      <c r="F31" s="117" t="s">
        <v>162</v>
      </c>
      <c r="G31" s="150"/>
      <c r="H31" s="151"/>
      <c r="I31" s="7"/>
      <c r="J31" s="119"/>
      <c r="M31" s="5"/>
    </row>
    <row r="32" spans="1:18" x14ac:dyDescent="0.2">
      <c r="A32" s="7"/>
      <c r="B32" s="81" t="s">
        <v>106</v>
      </c>
      <c r="C32" s="117">
        <f t="shared" si="0"/>
        <v>1</v>
      </c>
      <c r="D32" s="194">
        <f>IF(Power&gt;0,Power*PlantInvest+GridInvest*Power*0.001+DistanceToGrid*GridConVar*0.000001,0)</f>
        <v>16.877962919476403</v>
      </c>
      <c r="E32" s="107" t="s">
        <v>64</v>
      </c>
      <c r="F32" s="117" t="s">
        <v>163</v>
      </c>
      <c r="G32" s="150"/>
      <c r="H32" s="151"/>
      <c r="I32" s="7"/>
      <c r="J32" s="119"/>
      <c r="M32" s="5"/>
    </row>
    <row r="33" spans="1:15" x14ac:dyDescent="0.2">
      <c r="A33" s="7"/>
      <c r="B33" s="81" t="s">
        <v>131</v>
      </c>
      <c r="C33" s="117">
        <f t="shared" si="0"/>
        <v>1</v>
      </c>
      <c r="D33" s="165">
        <v>0.01</v>
      </c>
      <c r="E33" s="107" t="s">
        <v>166</v>
      </c>
      <c r="F33" s="117" t="s">
        <v>205</v>
      </c>
      <c r="G33" s="150"/>
      <c r="H33" s="151"/>
      <c r="I33" s="7"/>
    </row>
    <row r="34" spans="1:15" x14ac:dyDescent="0.2">
      <c r="A34" s="7"/>
      <c r="B34" s="81" t="s">
        <v>132</v>
      </c>
      <c r="C34" s="117">
        <f t="shared" si="0"/>
        <v>1</v>
      </c>
      <c r="D34" s="163">
        <f>fixedOMrate*(capex_power+capex_subsurface)*100</f>
        <v>63.727962919476411</v>
      </c>
      <c r="E34" s="86" t="str">
        <f>"kEuro/" &amp;E26</f>
        <v>kEuro/MWe</v>
      </c>
      <c r="F34" s="247" t="s">
        <v>177</v>
      </c>
      <c r="G34" s="253"/>
      <c r="H34" s="254"/>
      <c r="I34" s="7"/>
      <c r="O34" s="197"/>
    </row>
    <row r="35" spans="1:15" x14ac:dyDescent="0.2">
      <c r="A35" s="7"/>
      <c r="B35" s="179" t="s">
        <v>133</v>
      </c>
      <c r="C35" s="162">
        <f t="shared" si="0"/>
        <v>1</v>
      </c>
      <c r="D35" s="204">
        <f>D20/Efficiency</f>
        <v>14.595263157894735</v>
      </c>
      <c r="E35" s="200" t="s">
        <v>126</v>
      </c>
      <c r="F35" s="241" t="s">
        <v>193</v>
      </c>
      <c r="G35" s="242"/>
      <c r="H35" s="243"/>
      <c r="I35" s="7"/>
      <c r="O35" s="197"/>
    </row>
    <row r="36" spans="1:15" x14ac:dyDescent="0.2">
      <c r="A36" s="7"/>
      <c r="B36" s="208" t="s">
        <v>165</v>
      </c>
      <c r="C36" s="130"/>
      <c r="D36" s="183"/>
      <c r="E36" s="133"/>
      <c r="F36" s="180"/>
      <c r="G36" s="150"/>
      <c r="H36" s="151"/>
      <c r="I36" s="7"/>
      <c r="O36" s="197"/>
    </row>
    <row r="37" spans="1:15" ht="12.75" customHeight="1" x14ac:dyDescent="0.2">
      <c r="A37" s="7"/>
      <c r="B37" s="122" t="s">
        <v>170</v>
      </c>
      <c r="C37" s="178">
        <f t="shared" ref="C37:C43" si="1">IF(ooperation_choice="power",0,1)</f>
        <v>0</v>
      </c>
      <c r="D37" s="205">
        <v>35</v>
      </c>
      <c r="E37" s="198" t="s">
        <v>6</v>
      </c>
      <c r="F37" s="178" t="s">
        <v>169</v>
      </c>
      <c r="G37" s="148"/>
      <c r="H37" s="149"/>
      <c r="I37" s="7"/>
      <c r="O37" s="197"/>
    </row>
    <row r="38" spans="1:15" x14ac:dyDescent="0.2">
      <c r="A38" s="7"/>
      <c r="B38" s="81" t="s">
        <v>111</v>
      </c>
      <c r="C38" s="117">
        <f t="shared" si="1"/>
        <v>0</v>
      </c>
      <c r="D38" s="196">
        <f>IF(ooperation_choice="power",0,efficiencydirectheat*flowrate*Cpwater*Rhowater*(toutlet-Treinject)*10^-9)</f>
        <v>0</v>
      </c>
      <c r="E38" s="107" t="s">
        <v>108</v>
      </c>
      <c r="F38" s="117" t="s">
        <v>171</v>
      </c>
      <c r="G38" s="150"/>
      <c r="H38" s="151"/>
      <c r="I38" s="7"/>
      <c r="O38" s="197"/>
    </row>
    <row r="39" spans="1:15" x14ac:dyDescent="0.2">
      <c r="A39" s="7"/>
      <c r="B39" s="81" t="s">
        <v>112</v>
      </c>
      <c r="C39" s="117">
        <f t="shared" si="1"/>
        <v>0</v>
      </c>
      <c r="D39" s="238">
        <v>5000</v>
      </c>
      <c r="E39" s="107" t="s">
        <v>17</v>
      </c>
      <c r="F39" s="117" t="s">
        <v>172</v>
      </c>
      <c r="G39" s="150"/>
      <c r="H39" s="151"/>
      <c r="I39" s="7"/>
      <c r="O39" s="197"/>
    </row>
    <row r="40" spans="1:15" x14ac:dyDescent="0.2">
      <c r="A40" s="7"/>
      <c r="B40" s="81" t="s">
        <v>113</v>
      </c>
      <c r="C40" s="117">
        <f t="shared" si="1"/>
        <v>0</v>
      </c>
      <c r="D40" s="175">
        <v>150</v>
      </c>
      <c r="E40" s="107" t="s">
        <v>110</v>
      </c>
      <c r="F40" s="250" t="s">
        <v>173</v>
      </c>
      <c r="G40" s="251"/>
      <c r="H40" s="252"/>
      <c r="I40" s="7"/>
      <c r="O40" s="197"/>
    </row>
    <row r="41" spans="1:15" x14ac:dyDescent="0.2">
      <c r="A41" s="7"/>
      <c r="B41" s="81" t="s">
        <v>117</v>
      </c>
      <c r="C41" s="117">
        <f t="shared" si="1"/>
        <v>0</v>
      </c>
      <c r="D41" s="195">
        <f>D40*D38/1000</f>
        <v>0</v>
      </c>
      <c r="E41" s="107" t="s">
        <v>64</v>
      </c>
      <c r="F41" s="117" t="s">
        <v>176</v>
      </c>
      <c r="G41" s="150"/>
      <c r="H41" s="151"/>
      <c r="I41" s="7"/>
      <c r="O41" s="197"/>
    </row>
    <row r="42" spans="1:15" x14ac:dyDescent="0.2">
      <c r="A42" s="7"/>
      <c r="B42" s="81" t="s">
        <v>114</v>
      </c>
      <c r="C42" s="117">
        <f t="shared" si="1"/>
        <v>0</v>
      </c>
      <c r="D42" s="165">
        <v>0.01</v>
      </c>
      <c r="E42" s="107" t="s">
        <v>166</v>
      </c>
      <c r="F42" s="117" t="s">
        <v>206</v>
      </c>
      <c r="G42" s="150"/>
      <c r="H42" s="151"/>
      <c r="I42" s="7"/>
      <c r="O42" s="197"/>
    </row>
    <row r="43" spans="1:15" x14ac:dyDescent="0.2">
      <c r="A43" s="7"/>
      <c r="B43" s="81" t="s">
        <v>115</v>
      </c>
      <c r="C43" s="117">
        <f t="shared" si="1"/>
        <v>0</v>
      </c>
      <c r="D43" s="163">
        <f>D42*(heat_capex+capex_subsurface)*100</f>
        <v>46.85</v>
      </c>
      <c r="E43" s="107" t="s">
        <v>110</v>
      </c>
      <c r="F43" s="247" t="s">
        <v>178</v>
      </c>
      <c r="G43" s="253"/>
      <c r="H43" s="254"/>
      <c r="I43" s="7"/>
      <c r="O43" s="197"/>
    </row>
    <row r="44" spans="1:15" ht="13.5" customHeight="1" x14ac:dyDescent="0.2">
      <c r="A44" s="7"/>
      <c r="B44" s="179" t="s">
        <v>116</v>
      </c>
      <c r="C44" s="162">
        <f>IF(ooperation_choice="heat",1,0)</f>
        <v>0</v>
      </c>
      <c r="D44" s="204">
        <f>D20</f>
        <v>2.2000000000000002</v>
      </c>
      <c r="E44" s="200" t="s">
        <v>118</v>
      </c>
      <c r="F44" s="241" t="s">
        <v>167</v>
      </c>
      <c r="G44" s="242"/>
      <c r="H44" s="243"/>
      <c r="I44" s="7"/>
      <c r="O44" s="197"/>
    </row>
    <row r="45" spans="1:15" x14ac:dyDescent="0.2">
      <c r="A45" s="7"/>
      <c r="B45" s="218" t="s">
        <v>159</v>
      </c>
      <c r="C45" s="148"/>
      <c r="D45" s="177"/>
      <c r="E45" s="177"/>
      <c r="F45" s="154"/>
      <c r="G45" s="154"/>
      <c r="H45" s="171"/>
      <c r="I45" s="7"/>
      <c r="O45" s="197"/>
    </row>
    <row r="46" spans="1:15" x14ac:dyDescent="0.2">
      <c r="A46" s="7"/>
      <c r="B46" s="122" t="s">
        <v>119</v>
      </c>
      <c r="C46" s="239">
        <f>1</f>
        <v>1</v>
      </c>
      <c r="D46" s="217">
        <v>0</v>
      </c>
      <c r="E46" s="198" t="s">
        <v>44</v>
      </c>
      <c r="F46" s="244" t="s">
        <v>212</v>
      </c>
      <c r="G46" s="245"/>
      <c r="H46" s="246"/>
      <c r="I46" s="7"/>
      <c r="O46" s="197"/>
    </row>
    <row r="47" spans="1:15" x14ac:dyDescent="0.2">
      <c r="A47" s="7"/>
      <c r="B47" s="179" t="s">
        <v>123</v>
      </c>
      <c r="C47" s="162">
        <f>1</f>
        <v>1</v>
      </c>
      <c r="D47" s="221">
        <v>11</v>
      </c>
      <c r="E47" s="200" t="s">
        <v>128</v>
      </c>
      <c r="F47" s="162" t="s">
        <v>213</v>
      </c>
      <c r="G47" s="146"/>
      <c r="H47" s="147"/>
      <c r="I47" s="7"/>
    </row>
    <row r="48" spans="1:15" x14ac:dyDescent="0.2">
      <c r="A48" s="7"/>
      <c r="B48" s="202" t="s">
        <v>181</v>
      </c>
      <c r="C48" s="150"/>
      <c r="D48" s="86"/>
      <c r="E48" s="86"/>
      <c r="F48" s="172"/>
      <c r="G48" s="172"/>
      <c r="H48" s="173"/>
      <c r="I48" s="7"/>
    </row>
    <row r="49" spans="1:9" x14ac:dyDescent="0.2">
      <c r="A49" s="7"/>
      <c r="B49" s="122" t="s">
        <v>78</v>
      </c>
      <c r="C49" s="178">
        <v>1</v>
      </c>
      <c r="D49" s="219" t="s">
        <v>215</v>
      </c>
      <c r="E49" s="198" t="s">
        <v>180</v>
      </c>
      <c r="F49" s="154" t="s">
        <v>84</v>
      </c>
      <c r="G49" s="154"/>
      <c r="H49" s="171"/>
    </row>
    <row r="50" spans="1:9" x14ac:dyDescent="0.2">
      <c r="A50" s="7"/>
      <c r="B50" s="81" t="s">
        <v>79</v>
      </c>
      <c r="C50" s="117">
        <v>1</v>
      </c>
      <c r="D50" s="95">
        <v>0</v>
      </c>
      <c r="E50" s="107" t="s">
        <v>166</v>
      </c>
      <c r="F50" s="247" t="s">
        <v>85</v>
      </c>
      <c r="G50" s="248"/>
      <c r="H50" s="249"/>
    </row>
    <row r="51" spans="1:9" x14ac:dyDescent="0.2">
      <c r="A51" s="7"/>
      <c r="B51" s="81" t="s">
        <v>66</v>
      </c>
      <c r="C51" s="117">
        <v>1</v>
      </c>
      <c r="D51" s="96">
        <f>D50*151</f>
        <v>0</v>
      </c>
      <c r="E51" s="107" t="s">
        <v>64</v>
      </c>
      <c r="F51" s="247" t="s">
        <v>82</v>
      </c>
      <c r="G51" s="248"/>
      <c r="H51" s="249"/>
    </row>
    <row r="52" spans="1:9" x14ac:dyDescent="0.2">
      <c r="A52" s="7"/>
      <c r="B52" s="179" t="s">
        <v>83</v>
      </c>
      <c r="C52" s="162">
        <v>1</v>
      </c>
      <c r="D52" s="220">
        <f>CFpower!C34/1000000</f>
        <v>0</v>
      </c>
      <c r="E52" s="200" t="s">
        <v>64</v>
      </c>
      <c r="F52" s="241" t="s">
        <v>87</v>
      </c>
      <c r="G52" s="242"/>
      <c r="H52" s="243"/>
      <c r="I52" s="7"/>
    </row>
    <row r="53" spans="1:9" x14ac:dyDescent="0.2">
      <c r="B53" s="23"/>
      <c r="C53" s="22"/>
      <c r="D53" s="97"/>
      <c r="E53" s="87"/>
      <c r="F53" s="22"/>
      <c r="G53" s="87"/>
      <c r="H53" s="24"/>
      <c r="I53" s="7"/>
    </row>
    <row r="54" spans="1:9" x14ac:dyDescent="0.2">
      <c r="B54" s="122" t="s">
        <v>20</v>
      </c>
      <c r="C54" s="117">
        <v>1</v>
      </c>
      <c r="D54" s="181">
        <v>0</v>
      </c>
      <c r="E54" s="107" t="s">
        <v>166</v>
      </c>
      <c r="F54" s="244" t="s">
        <v>179</v>
      </c>
      <c r="G54" s="245"/>
      <c r="H54" s="246"/>
    </row>
    <row r="55" spans="1:9" x14ac:dyDescent="0.2">
      <c r="B55" s="81" t="s">
        <v>185</v>
      </c>
      <c r="C55" s="117">
        <v>1</v>
      </c>
      <c r="D55" s="100">
        <v>0.06</v>
      </c>
      <c r="E55" s="107" t="s">
        <v>166</v>
      </c>
      <c r="F55" s="250" t="s">
        <v>182</v>
      </c>
      <c r="G55" s="251"/>
      <c r="H55" s="252"/>
    </row>
    <row r="56" spans="1:9" x14ac:dyDescent="0.2">
      <c r="B56" s="81" t="s">
        <v>21</v>
      </c>
      <c r="C56" s="117">
        <v>1</v>
      </c>
      <c r="D56" s="98">
        <v>0.15</v>
      </c>
      <c r="E56" s="107" t="s">
        <v>166</v>
      </c>
      <c r="F56" s="247" t="s">
        <v>189</v>
      </c>
      <c r="G56" s="248"/>
      <c r="H56" s="258"/>
    </row>
    <row r="57" spans="1:9" x14ac:dyDescent="0.2">
      <c r="B57" s="81" t="s">
        <v>80</v>
      </c>
      <c r="C57" s="117">
        <v>1</v>
      </c>
      <c r="D57" s="92">
        <v>0.2</v>
      </c>
      <c r="E57" s="107" t="s">
        <v>166</v>
      </c>
      <c r="F57" s="247" t="s">
        <v>188</v>
      </c>
      <c r="G57" s="248"/>
      <c r="H57" s="258"/>
    </row>
    <row r="58" spans="1:9" x14ac:dyDescent="0.2">
      <c r="B58" s="123" t="s">
        <v>81</v>
      </c>
      <c r="C58" s="214">
        <v>1</v>
      </c>
      <c r="D58" s="99">
        <f>1-D57</f>
        <v>0.8</v>
      </c>
      <c r="E58" s="107" t="s">
        <v>166</v>
      </c>
      <c r="F58" s="250" t="s">
        <v>186</v>
      </c>
      <c r="G58" s="251"/>
      <c r="H58" s="252"/>
    </row>
    <row r="59" spans="1:9" x14ac:dyDescent="0.2">
      <c r="B59" s="124" t="s">
        <v>22</v>
      </c>
      <c r="C59" s="222">
        <v>1</v>
      </c>
      <c r="D59" s="100">
        <v>0.25</v>
      </c>
      <c r="E59" s="107" t="s">
        <v>166</v>
      </c>
      <c r="F59" s="241" t="s">
        <v>187</v>
      </c>
      <c r="G59" s="242"/>
      <c r="H59" s="243"/>
    </row>
    <row r="60" spans="1:9" x14ac:dyDescent="0.2">
      <c r="B60" s="25"/>
      <c r="C60" s="215"/>
      <c r="D60" s="101"/>
      <c r="E60" s="87"/>
      <c r="F60" s="22"/>
      <c r="G60" s="87"/>
      <c r="H60" s="24"/>
    </row>
    <row r="61" spans="1:9" x14ac:dyDescent="0.2">
      <c r="B61" s="123" t="s">
        <v>23</v>
      </c>
      <c r="C61" s="214">
        <v>1</v>
      </c>
      <c r="D61" s="90">
        <v>30</v>
      </c>
      <c r="E61" s="107" t="s">
        <v>33</v>
      </c>
      <c r="F61" s="244" t="s">
        <v>190</v>
      </c>
      <c r="G61" s="245"/>
      <c r="H61" s="246"/>
    </row>
    <row r="62" spans="1:9" ht="13.5" thickBot="1" x14ac:dyDescent="0.25">
      <c r="B62" s="161" t="s">
        <v>24</v>
      </c>
      <c r="C62" s="216">
        <v>1</v>
      </c>
      <c r="D62" s="102">
        <v>30</v>
      </c>
      <c r="E62" s="132" t="s">
        <v>33</v>
      </c>
      <c r="F62" s="255" t="s">
        <v>191</v>
      </c>
      <c r="G62" s="256"/>
      <c r="H62" s="257"/>
    </row>
    <row r="63" spans="1:9" ht="13.5" thickBot="1" x14ac:dyDescent="0.25">
      <c r="H63" s="10"/>
    </row>
    <row r="64" spans="1:9" x14ac:dyDescent="0.2">
      <c r="B64" s="20" t="s">
        <v>146</v>
      </c>
      <c r="C64" s="155" t="s">
        <v>86</v>
      </c>
      <c r="D64" s="85" t="s">
        <v>25</v>
      </c>
      <c r="E64" s="88" t="s">
        <v>26</v>
      </c>
      <c r="F64" s="7"/>
      <c r="G64" s="7"/>
    </row>
    <row r="65" spans="1:8" ht="15.75" thickBot="1" x14ac:dyDescent="0.25">
      <c r="B65" s="226" t="s">
        <v>198</v>
      </c>
      <c r="C65" s="227">
        <f>IF(ooperation_choice="heat",0,1)</f>
        <v>1</v>
      </c>
      <c r="D65" s="228">
        <f>IF(ooperation_choice="heat",0,100*(CFpower!C36-CFpower!D27)/CFpower!D28/100)</f>
        <v>163.72491392903549</v>
      </c>
      <c r="E65" s="141" t="s">
        <v>120</v>
      </c>
      <c r="G65" s="11"/>
    </row>
    <row r="66" spans="1:8" ht="13.5" thickBot="1" x14ac:dyDescent="0.25">
      <c r="D66" s="103"/>
    </row>
    <row r="67" spans="1:8" x14ac:dyDescent="0.2">
      <c r="A67" s="225"/>
      <c r="B67" s="20" t="s">
        <v>147</v>
      </c>
      <c r="C67" s="155"/>
      <c r="D67" s="85" t="s">
        <v>25</v>
      </c>
      <c r="E67" s="88" t="s">
        <v>26</v>
      </c>
      <c r="F67" s="1"/>
      <c r="G67" s="89"/>
      <c r="H67" s="7"/>
    </row>
    <row r="68" spans="1:8" ht="15.75" thickBot="1" x14ac:dyDescent="0.25">
      <c r="A68" s="77"/>
      <c r="B68" s="226" t="s">
        <v>198</v>
      </c>
      <c r="C68" s="227">
        <f>IF(ooperation_choice="heat",1,0)</f>
        <v>0</v>
      </c>
      <c r="D68" s="228">
        <f>IF(ooperation_choice="heat",100*(CFheat!C36-CFheat!D27)/CFheat!D28/100, 0)</f>
        <v>0</v>
      </c>
      <c r="E68" s="141" t="s">
        <v>127</v>
      </c>
    </row>
    <row r="69" spans="1:8" x14ac:dyDescent="0.2">
      <c r="E69" s="84" t="s">
        <v>204</v>
      </c>
    </row>
    <row r="70" spans="1:8" x14ac:dyDescent="0.2">
      <c r="D70" s="108"/>
    </row>
  </sheetData>
  <mergeCells count="26">
    <mergeCell ref="F14:H14"/>
    <mergeCell ref="F28:H28"/>
    <mergeCell ref="F34:H34"/>
    <mergeCell ref="F4:H4"/>
    <mergeCell ref="F26:H26"/>
    <mergeCell ref="F9:H9"/>
    <mergeCell ref="F5:H5"/>
    <mergeCell ref="F7:H7"/>
    <mergeCell ref="F20:H20"/>
    <mergeCell ref="F25:H25"/>
    <mergeCell ref="F59:H59"/>
    <mergeCell ref="F61:H61"/>
    <mergeCell ref="F62:H62"/>
    <mergeCell ref="F54:H54"/>
    <mergeCell ref="F55:H55"/>
    <mergeCell ref="F56:H56"/>
    <mergeCell ref="F57:H57"/>
    <mergeCell ref="F58:H58"/>
    <mergeCell ref="F35:H35"/>
    <mergeCell ref="F46:H46"/>
    <mergeCell ref="F50:H50"/>
    <mergeCell ref="F51:H51"/>
    <mergeCell ref="F52:H52"/>
    <mergeCell ref="F40:H40"/>
    <mergeCell ref="F43:H43"/>
    <mergeCell ref="F44:H44"/>
  </mergeCells>
  <phoneticPr fontId="0" type="noConversion"/>
  <conditionalFormatting sqref="C65 C68 C5:C62">
    <cfRule type="cellIs" dxfId="1" priority="1" operator="notEqual">
      <formula>1</formula>
    </cfRule>
    <cfRule type="cellIs" dxfId="0" priority="3" operator="equal">
      <formula>1</formula>
    </cfRule>
  </conditionalFormatting>
  <dataValidations count="3">
    <dataValidation type="list" allowBlank="1" showInputMessage="1" showErrorMessage="1" sqref="D49">
      <formula1>"yes,no"</formula1>
    </dataValidation>
    <dataValidation type="list" allowBlank="1" showInputMessage="1" showErrorMessage="1" sqref="G2">
      <formula1>"power,power-coheat,heat"</formula1>
    </dataValidation>
    <dataValidation type="decimal" allowBlank="1" showInputMessage="1" showErrorMessage="1" error="provide a fraction or percentage[0..99%]" sqref="D22">
      <formula1>0</formula1>
      <formula2>0.99</formula2>
    </dataValidation>
  </dataValidations>
  <pageMargins left="0.75" right="0.75" top="1" bottom="1" header="0.5" footer="0.5"/>
  <pageSetup paperSize="9" scale="55" orientation="portrait" r:id="rId1"/>
  <headerFooter alignWithMargins="0">
    <oddFooter>&amp;L&amp;D&amp;RVersie  2003.1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/>
  </sheetPr>
  <dimension ref="A1:AS49"/>
  <sheetViews>
    <sheetView topLeftCell="A4" zoomScaleNormal="100" workbookViewId="0">
      <selection activeCell="F17" sqref="F17"/>
    </sheetView>
  </sheetViews>
  <sheetFormatPr defaultRowHeight="12.75" x14ac:dyDescent="0.2"/>
  <cols>
    <col min="1" max="1" width="11.42578125" style="2" customWidth="1"/>
    <col min="2" max="2" width="40.42578125" style="1" customWidth="1"/>
    <col min="3" max="3" width="29.28515625" style="1" customWidth="1"/>
    <col min="4" max="4" width="15.7109375" style="1" bestFit="1" customWidth="1"/>
    <col min="5" max="5" width="12.7109375" style="1" customWidth="1"/>
    <col min="6" max="12" width="15.140625" style="1" bestFit="1" customWidth="1"/>
    <col min="13" max="45" width="12.7109375" style="1" customWidth="1"/>
    <col min="46" max="256" width="11.42578125" style="2" customWidth="1"/>
    <col min="257" max="16384" width="9.140625" style="2"/>
  </cols>
  <sheetData>
    <row r="1" spans="1:45" s="63" customFormat="1" ht="18" x14ac:dyDescent="0.25">
      <c r="A1" s="63" t="str">
        <f>Colofon!C2</f>
        <v>Calculation of LCOE of renewable heat and electricity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</row>
    <row r="2" spans="1:45" s="66" customFormat="1" ht="23.25" x14ac:dyDescent="0.35">
      <c r="A2" s="66" t="s">
        <v>209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</row>
    <row r="3" spans="1:45" x14ac:dyDescent="0.2">
      <c r="B3" s="3"/>
      <c r="C3" s="3"/>
      <c r="D3" s="3"/>
      <c r="E3" s="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45" x14ac:dyDescent="0.2">
      <c r="A4" s="21"/>
      <c r="B4" s="45"/>
      <c r="C4" s="46" t="s">
        <v>33</v>
      </c>
      <c r="D4" s="46"/>
      <c r="E4" s="38">
        <v>0</v>
      </c>
      <c r="F4" s="38">
        <v>1</v>
      </c>
      <c r="G4" s="38">
        <v>2</v>
      </c>
      <c r="H4" s="38">
        <v>3</v>
      </c>
      <c r="I4" s="38">
        <v>4</v>
      </c>
      <c r="J4" s="38">
        <v>5</v>
      </c>
      <c r="K4" s="38">
        <v>6</v>
      </c>
      <c r="L4" s="38">
        <v>7</v>
      </c>
      <c r="M4" s="38">
        <v>8</v>
      </c>
      <c r="N4" s="38">
        <v>9</v>
      </c>
      <c r="O4" s="38">
        <v>10</v>
      </c>
      <c r="P4" s="38">
        <v>11</v>
      </c>
      <c r="Q4" s="38">
        <v>12</v>
      </c>
      <c r="R4" s="38">
        <v>13</v>
      </c>
      <c r="S4" s="38">
        <v>14</v>
      </c>
      <c r="T4" s="38">
        <v>15</v>
      </c>
      <c r="U4" s="38">
        <v>16</v>
      </c>
      <c r="V4" s="38">
        <v>17</v>
      </c>
      <c r="W4" s="38">
        <v>18</v>
      </c>
      <c r="X4" s="38">
        <v>19</v>
      </c>
      <c r="Y4" s="38">
        <v>20</v>
      </c>
      <c r="Z4" s="38">
        <v>21</v>
      </c>
      <c r="AA4" s="38">
        <v>22</v>
      </c>
      <c r="AB4" s="38">
        <v>23</v>
      </c>
      <c r="AC4" s="38">
        <v>24</v>
      </c>
      <c r="AD4" s="38">
        <v>25</v>
      </c>
      <c r="AE4" s="38">
        <v>26</v>
      </c>
      <c r="AF4" s="38">
        <v>27</v>
      </c>
      <c r="AG4" s="38">
        <v>28</v>
      </c>
      <c r="AH4" s="38">
        <v>29</v>
      </c>
      <c r="AI4" s="38">
        <v>30</v>
      </c>
      <c r="AJ4" s="38">
        <v>31</v>
      </c>
      <c r="AK4" s="38">
        <v>32</v>
      </c>
      <c r="AL4" s="38">
        <v>33</v>
      </c>
      <c r="AM4" s="38">
        <v>34</v>
      </c>
      <c r="AN4" s="38">
        <v>35</v>
      </c>
      <c r="AO4" s="38">
        <v>36</v>
      </c>
      <c r="AP4" s="38">
        <v>37</v>
      </c>
      <c r="AQ4" s="38">
        <v>38</v>
      </c>
      <c r="AR4" s="38">
        <v>39</v>
      </c>
      <c r="AS4" s="39">
        <v>40</v>
      </c>
    </row>
    <row r="5" spans="1:45" x14ac:dyDescent="0.2">
      <c r="A5" s="32"/>
      <c r="B5" s="134" t="s">
        <v>34</v>
      </c>
      <c r="C5" s="29" t="s">
        <v>1</v>
      </c>
      <c r="D5" s="33"/>
      <c r="E5" s="48">
        <f>-C30</f>
        <v>-63727962.919476405</v>
      </c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9"/>
    </row>
    <row r="6" spans="1:45" ht="6" customHeight="1" x14ac:dyDescent="0.2">
      <c r="A6" s="34"/>
      <c r="B6" s="29"/>
      <c r="C6" s="47"/>
      <c r="D6" s="47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9"/>
    </row>
    <row r="7" spans="1:45" x14ac:dyDescent="0.2">
      <c r="A7" s="34"/>
      <c r="B7" s="112"/>
      <c r="C7" s="29"/>
      <c r="D7" s="3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40"/>
    </row>
    <row r="8" spans="1:45" x14ac:dyDescent="0.2">
      <c r="A8" s="34"/>
      <c r="B8" s="112" t="s">
        <v>89</v>
      </c>
      <c r="C8" s="113" t="s">
        <v>45</v>
      </c>
      <c r="D8" s="34"/>
      <c r="E8" s="14"/>
      <c r="F8" s="14">
        <f t="shared" ref="F8:AS8" si="0">IF(F4&gt;lifetime,0,Power*power_loadhours*1000)</f>
        <v>42540163.427211441</v>
      </c>
      <c r="G8" s="14">
        <f t="shared" si="0"/>
        <v>42540163.427211441</v>
      </c>
      <c r="H8" s="14">
        <f t="shared" si="0"/>
        <v>42540163.427211441</v>
      </c>
      <c r="I8" s="14">
        <f t="shared" si="0"/>
        <v>42540163.427211441</v>
      </c>
      <c r="J8" s="14">
        <f t="shared" si="0"/>
        <v>42540163.427211441</v>
      </c>
      <c r="K8" s="14">
        <f t="shared" si="0"/>
        <v>42540163.427211441</v>
      </c>
      <c r="L8" s="14">
        <f t="shared" si="0"/>
        <v>42540163.427211441</v>
      </c>
      <c r="M8" s="14">
        <f t="shared" si="0"/>
        <v>42540163.427211441</v>
      </c>
      <c r="N8" s="14">
        <f t="shared" si="0"/>
        <v>42540163.427211441</v>
      </c>
      <c r="O8" s="14">
        <f t="shared" si="0"/>
        <v>42540163.427211441</v>
      </c>
      <c r="P8" s="14">
        <f t="shared" si="0"/>
        <v>42540163.427211441</v>
      </c>
      <c r="Q8" s="14">
        <f t="shared" si="0"/>
        <v>42540163.427211441</v>
      </c>
      <c r="R8" s="14">
        <f t="shared" si="0"/>
        <v>42540163.427211441</v>
      </c>
      <c r="S8" s="14">
        <f t="shared" si="0"/>
        <v>42540163.427211441</v>
      </c>
      <c r="T8" s="14">
        <f t="shared" si="0"/>
        <v>42540163.427211441</v>
      </c>
      <c r="U8" s="14">
        <f t="shared" si="0"/>
        <v>42540163.427211441</v>
      </c>
      <c r="V8" s="14">
        <f t="shared" si="0"/>
        <v>42540163.427211441</v>
      </c>
      <c r="W8" s="14">
        <f t="shared" si="0"/>
        <v>42540163.427211441</v>
      </c>
      <c r="X8" s="14">
        <f t="shared" si="0"/>
        <v>42540163.427211441</v>
      </c>
      <c r="Y8" s="14">
        <f t="shared" si="0"/>
        <v>42540163.427211441</v>
      </c>
      <c r="Z8" s="14">
        <f t="shared" si="0"/>
        <v>42540163.427211441</v>
      </c>
      <c r="AA8" s="14">
        <f t="shared" si="0"/>
        <v>42540163.427211441</v>
      </c>
      <c r="AB8" s="14">
        <f t="shared" si="0"/>
        <v>42540163.427211441</v>
      </c>
      <c r="AC8" s="14">
        <f t="shared" si="0"/>
        <v>42540163.427211441</v>
      </c>
      <c r="AD8" s="14">
        <f t="shared" si="0"/>
        <v>42540163.427211441</v>
      </c>
      <c r="AE8" s="14">
        <f t="shared" si="0"/>
        <v>42540163.427211441</v>
      </c>
      <c r="AF8" s="14">
        <f t="shared" si="0"/>
        <v>42540163.427211441</v>
      </c>
      <c r="AG8" s="14">
        <f t="shared" si="0"/>
        <v>42540163.427211441</v>
      </c>
      <c r="AH8" s="14">
        <f t="shared" si="0"/>
        <v>42540163.427211441</v>
      </c>
      <c r="AI8" s="14">
        <f t="shared" si="0"/>
        <v>42540163.427211441</v>
      </c>
      <c r="AJ8" s="14">
        <f t="shared" si="0"/>
        <v>0</v>
      </c>
      <c r="AK8" s="14">
        <f t="shared" si="0"/>
        <v>0</v>
      </c>
      <c r="AL8" s="14">
        <f t="shared" si="0"/>
        <v>0</v>
      </c>
      <c r="AM8" s="14">
        <f t="shared" si="0"/>
        <v>0</v>
      </c>
      <c r="AN8" s="14">
        <f t="shared" si="0"/>
        <v>0</v>
      </c>
      <c r="AO8" s="14">
        <f t="shared" si="0"/>
        <v>0</v>
      </c>
      <c r="AP8" s="14">
        <f t="shared" si="0"/>
        <v>0</v>
      </c>
      <c r="AQ8" s="14">
        <f t="shared" si="0"/>
        <v>0</v>
      </c>
      <c r="AR8" s="14">
        <f t="shared" si="0"/>
        <v>0</v>
      </c>
      <c r="AS8" s="14">
        <f t="shared" si="0"/>
        <v>0</v>
      </c>
    </row>
    <row r="9" spans="1:45" s="121" customFormat="1" ht="12.75" customHeight="1" x14ac:dyDescent="0.2">
      <c r="A9" s="120"/>
      <c r="B9" s="184" t="s">
        <v>90</v>
      </c>
      <c r="C9" s="185" t="s">
        <v>1</v>
      </c>
      <c r="D9" s="186"/>
      <c r="E9" s="190"/>
      <c r="F9" s="191">
        <f t="shared" ref="F9:AS9" si="1">IF(F4&gt;lifetime,0,-(power_OMfixed*Power*1000+F8*0.001*power_OMvar+heat_mwth*(coheatloadhours*heat_OMvar+heat_OMfixed*1000)))</f>
        <v>-959759.62468472472</v>
      </c>
      <c r="G9" s="191">
        <f t="shared" si="1"/>
        <v>-959759.62468472472</v>
      </c>
      <c r="H9" s="191">
        <f t="shared" si="1"/>
        <v>-959759.62468472472</v>
      </c>
      <c r="I9" s="191">
        <f t="shared" si="1"/>
        <v>-959759.62468472472</v>
      </c>
      <c r="J9" s="191">
        <f t="shared" si="1"/>
        <v>-959759.62468472472</v>
      </c>
      <c r="K9" s="191">
        <f t="shared" si="1"/>
        <v>-959759.62468472472</v>
      </c>
      <c r="L9" s="191">
        <f t="shared" si="1"/>
        <v>-959759.62468472472</v>
      </c>
      <c r="M9" s="191">
        <f t="shared" si="1"/>
        <v>-959759.62468472472</v>
      </c>
      <c r="N9" s="191">
        <f t="shared" si="1"/>
        <v>-959759.62468472472</v>
      </c>
      <c r="O9" s="191">
        <f t="shared" si="1"/>
        <v>-959759.62468472472</v>
      </c>
      <c r="P9" s="191">
        <f t="shared" si="1"/>
        <v>-959759.62468472472</v>
      </c>
      <c r="Q9" s="191">
        <f t="shared" si="1"/>
        <v>-959759.62468472472</v>
      </c>
      <c r="R9" s="191">
        <f t="shared" si="1"/>
        <v>-959759.62468472472</v>
      </c>
      <c r="S9" s="191">
        <f t="shared" si="1"/>
        <v>-959759.62468472472</v>
      </c>
      <c r="T9" s="191">
        <f t="shared" si="1"/>
        <v>-959759.62468472472</v>
      </c>
      <c r="U9" s="191">
        <f t="shared" si="1"/>
        <v>-959759.62468472472</v>
      </c>
      <c r="V9" s="191">
        <f t="shared" si="1"/>
        <v>-959759.62468472472</v>
      </c>
      <c r="W9" s="191">
        <f t="shared" si="1"/>
        <v>-959759.62468472472</v>
      </c>
      <c r="X9" s="191">
        <f t="shared" si="1"/>
        <v>-959759.62468472472</v>
      </c>
      <c r="Y9" s="191">
        <f t="shared" si="1"/>
        <v>-959759.62468472472</v>
      </c>
      <c r="Z9" s="191">
        <f t="shared" si="1"/>
        <v>-959759.62468472472</v>
      </c>
      <c r="AA9" s="191">
        <f t="shared" si="1"/>
        <v>-959759.62468472472</v>
      </c>
      <c r="AB9" s="191">
        <f t="shared" si="1"/>
        <v>-959759.62468472472</v>
      </c>
      <c r="AC9" s="191">
        <f t="shared" si="1"/>
        <v>-959759.62468472472</v>
      </c>
      <c r="AD9" s="191">
        <f t="shared" si="1"/>
        <v>-959759.62468472472</v>
      </c>
      <c r="AE9" s="191">
        <f t="shared" si="1"/>
        <v>-959759.62468472472</v>
      </c>
      <c r="AF9" s="191">
        <f t="shared" si="1"/>
        <v>-959759.62468472472</v>
      </c>
      <c r="AG9" s="191">
        <f t="shared" si="1"/>
        <v>-959759.62468472472</v>
      </c>
      <c r="AH9" s="191">
        <f t="shared" si="1"/>
        <v>-959759.62468472472</v>
      </c>
      <c r="AI9" s="191">
        <f t="shared" si="1"/>
        <v>-959759.62468472472</v>
      </c>
      <c r="AJ9" s="191">
        <f t="shared" si="1"/>
        <v>0</v>
      </c>
      <c r="AK9" s="191">
        <f t="shared" si="1"/>
        <v>0</v>
      </c>
      <c r="AL9" s="191">
        <f t="shared" si="1"/>
        <v>0</v>
      </c>
      <c r="AM9" s="191">
        <f t="shared" si="1"/>
        <v>0</v>
      </c>
      <c r="AN9" s="191">
        <f t="shared" si="1"/>
        <v>0</v>
      </c>
      <c r="AO9" s="191">
        <f t="shared" si="1"/>
        <v>0</v>
      </c>
      <c r="AP9" s="191">
        <f t="shared" si="1"/>
        <v>0</v>
      </c>
      <c r="AQ9" s="191">
        <f t="shared" si="1"/>
        <v>0</v>
      </c>
      <c r="AR9" s="191">
        <f t="shared" si="1"/>
        <v>0</v>
      </c>
      <c r="AS9" s="191">
        <f t="shared" si="1"/>
        <v>0</v>
      </c>
    </row>
    <row r="10" spans="1:45" s="121" customFormat="1" x14ac:dyDescent="0.2">
      <c r="A10" s="120"/>
      <c r="B10" s="184" t="s">
        <v>91</v>
      </c>
      <c r="C10" s="187" t="s">
        <v>1</v>
      </c>
      <c r="D10" s="186"/>
      <c r="E10" s="190"/>
      <c r="F10" s="190"/>
      <c r="G10" s="190"/>
      <c r="H10" s="190"/>
      <c r="I10" s="190"/>
      <c r="J10" s="190">
        <f>-pumpcost2*1000000</f>
        <v>-600000</v>
      </c>
      <c r="K10" s="190"/>
      <c r="L10" s="190"/>
      <c r="M10" s="190"/>
      <c r="N10" s="190"/>
      <c r="O10" s="190">
        <f>-pumpcost2*1000000</f>
        <v>-600000</v>
      </c>
      <c r="P10" s="190"/>
      <c r="Q10" s="190"/>
      <c r="R10" s="190"/>
      <c r="S10" s="190"/>
      <c r="T10" s="190">
        <f>-pumpcost2*1000000</f>
        <v>-600000</v>
      </c>
      <c r="U10" s="190"/>
      <c r="V10" s="190"/>
      <c r="W10" s="190"/>
      <c r="X10" s="190"/>
      <c r="Y10" s="190">
        <f>-pumpcost2*1000000</f>
        <v>-600000</v>
      </c>
      <c r="Z10" s="190"/>
      <c r="AA10" s="190"/>
      <c r="AB10" s="190"/>
      <c r="AC10" s="190"/>
      <c r="AD10" s="190">
        <f>-pumpcost2*1000000</f>
        <v>-600000</v>
      </c>
      <c r="AE10" s="190"/>
      <c r="AF10" s="190"/>
      <c r="AG10" s="190"/>
      <c r="AH10" s="190"/>
      <c r="AI10" s="190">
        <f>-pumpcost2*1000000</f>
        <v>-600000</v>
      </c>
      <c r="AJ10" s="190"/>
      <c r="AK10" s="190"/>
      <c r="AL10" s="190"/>
      <c r="AM10" s="190"/>
      <c r="AN10" s="190">
        <f>-pumpcost2*1000000</f>
        <v>-600000</v>
      </c>
      <c r="AO10" s="190"/>
      <c r="AP10" s="190"/>
      <c r="AQ10" s="190"/>
      <c r="AR10" s="190"/>
      <c r="AS10" s="190">
        <f>-pumpcost2*1000000</f>
        <v>-600000</v>
      </c>
    </row>
    <row r="11" spans="1:45" x14ac:dyDescent="0.2">
      <c r="A11" s="34"/>
      <c r="B11" s="113" t="s">
        <v>109</v>
      </c>
      <c r="C11" s="113" t="s">
        <v>1</v>
      </c>
      <c r="D11" s="29"/>
      <c r="E11" s="14"/>
      <c r="F11" s="14">
        <f t="shared" ref="F11:AS11" si="2">F8*power_feedin*0.001+heat_mwth*coheatloadhours*coheat_feedin*3.6</f>
        <v>0</v>
      </c>
      <c r="G11" s="14">
        <f t="shared" si="2"/>
        <v>0</v>
      </c>
      <c r="H11" s="14">
        <f t="shared" si="2"/>
        <v>0</v>
      </c>
      <c r="I11" s="14">
        <f t="shared" si="2"/>
        <v>0</v>
      </c>
      <c r="J11" s="14">
        <f t="shared" si="2"/>
        <v>0</v>
      </c>
      <c r="K11" s="14">
        <f t="shared" si="2"/>
        <v>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4">
        <f t="shared" si="2"/>
        <v>0</v>
      </c>
      <c r="Q11" s="14">
        <f t="shared" si="2"/>
        <v>0</v>
      </c>
      <c r="R11" s="14">
        <f t="shared" si="2"/>
        <v>0</v>
      </c>
      <c r="S11" s="14">
        <f t="shared" si="2"/>
        <v>0</v>
      </c>
      <c r="T11" s="14">
        <f t="shared" si="2"/>
        <v>0</v>
      </c>
      <c r="U11" s="14">
        <f t="shared" si="2"/>
        <v>0</v>
      </c>
      <c r="V11" s="14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14">
        <f t="shared" si="2"/>
        <v>0</v>
      </c>
      <c r="AB11" s="14">
        <f t="shared" si="2"/>
        <v>0</v>
      </c>
      <c r="AC11" s="14">
        <f t="shared" si="2"/>
        <v>0</v>
      </c>
      <c r="AD11" s="14">
        <f t="shared" si="2"/>
        <v>0</v>
      </c>
      <c r="AE11" s="14">
        <f t="shared" si="2"/>
        <v>0</v>
      </c>
      <c r="AF11" s="14">
        <f t="shared" si="2"/>
        <v>0</v>
      </c>
      <c r="AG11" s="14">
        <f t="shared" si="2"/>
        <v>0</v>
      </c>
      <c r="AH11" s="14">
        <f t="shared" si="2"/>
        <v>0</v>
      </c>
      <c r="AI11" s="14">
        <f t="shared" si="2"/>
        <v>0</v>
      </c>
      <c r="AJ11" s="14">
        <f t="shared" si="2"/>
        <v>0</v>
      </c>
      <c r="AK11" s="14">
        <f t="shared" si="2"/>
        <v>0</v>
      </c>
      <c r="AL11" s="14">
        <f t="shared" si="2"/>
        <v>0</v>
      </c>
      <c r="AM11" s="14">
        <f t="shared" si="2"/>
        <v>0</v>
      </c>
      <c r="AN11" s="14">
        <f t="shared" si="2"/>
        <v>0</v>
      </c>
      <c r="AO11" s="14">
        <f t="shared" si="2"/>
        <v>0</v>
      </c>
      <c r="AP11" s="14">
        <f t="shared" si="2"/>
        <v>0</v>
      </c>
      <c r="AQ11" s="14">
        <f t="shared" si="2"/>
        <v>0</v>
      </c>
      <c r="AR11" s="14">
        <f t="shared" si="2"/>
        <v>0</v>
      </c>
      <c r="AS11" s="14">
        <f t="shared" si="2"/>
        <v>0</v>
      </c>
    </row>
    <row r="12" spans="1:45" ht="6.75" customHeight="1" x14ac:dyDescent="0.2">
      <c r="A12" s="34"/>
      <c r="B12" s="29"/>
      <c r="C12" s="29"/>
      <c r="D12" s="29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40"/>
    </row>
    <row r="13" spans="1:45" x14ac:dyDescent="0.2">
      <c r="A13" s="34"/>
      <c r="B13" s="113" t="s">
        <v>92</v>
      </c>
      <c r="C13" s="29" t="s">
        <v>1</v>
      </c>
      <c r="D13" s="29"/>
      <c r="E13" s="14"/>
      <c r="F13" s="14">
        <f t="shared" ref="F13:AS13" si="3">IF(F4&gt;lifetime,0,POWER(1+inflation,F4-$F$4)*SUM(F11:F11))</f>
        <v>0</v>
      </c>
      <c r="G13" s="14">
        <f t="shared" si="3"/>
        <v>0</v>
      </c>
      <c r="H13" s="14">
        <f t="shared" si="3"/>
        <v>0</v>
      </c>
      <c r="I13" s="14">
        <f t="shared" si="3"/>
        <v>0</v>
      </c>
      <c r="J13" s="14">
        <f t="shared" si="3"/>
        <v>0</v>
      </c>
      <c r="K13" s="14">
        <f t="shared" si="3"/>
        <v>0</v>
      </c>
      <c r="L13" s="14">
        <f t="shared" si="3"/>
        <v>0</v>
      </c>
      <c r="M13" s="14">
        <f t="shared" si="3"/>
        <v>0</v>
      </c>
      <c r="N13" s="14">
        <f t="shared" si="3"/>
        <v>0</v>
      </c>
      <c r="O13" s="14">
        <f t="shared" si="3"/>
        <v>0</v>
      </c>
      <c r="P13" s="14">
        <f t="shared" si="3"/>
        <v>0</v>
      </c>
      <c r="Q13" s="14">
        <f t="shared" si="3"/>
        <v>0</v>
      </c>
      <c r="R13" s="14">
        <f t="shared" si="3"/>
        <v>0</v>
      </c>
      <c r="S13" s="14">
        <f t="shared" si="3"/>
        <v>0</v>
      </c>
      <c r="T13" s="14">
        <f t="shared" si="3"/>
        <v>0</v>
      </c>
      <c r="U13" s="14">
        <f t="shared" si="3"/>
        <v>0</v>
      </c>
      <c r="V13" s="14">
        <f t="shared" si="3"/>
        <v>0</v>
      </c>
      <c r="W13" s="14">
        <f t="shared" si="3"/>
        <v>0</v>
      </c>
      <c r="X13" s="14">
        <f t="shared" si="3"/>
        <v>0</v>
      </c>
      <c r="Y13" s="14">
        <f t="shared" si="3"/>
        <v>0</v>
      </c>
      <c r="Z13" s="14">
        <f t="shared" si="3"/>
        <v>0</v>
      </c>
      <c r="AA13" s="14">
        <f t="shared" si="3"/>
        <v>0</v>
      </c>
      <c r="AB13" s="14">
        <f t="shared" si="3"/>
        <v>0</v>
      </c>
      <c r="AC13" s="14">
        <f t="shared" si="3"/>
        <v>0</v>
      </c>
      <c r="AD13" s="14">
        <f t="shared" si="3"/>
        <v>0</v>
      </c>
      <c r="AE13" s="14">
        <f t="shared" si="3"/>
        <v>0</v>
      </c>
      <c r="AF13" s="14">
        <f t="shared" si="3"/>
        <v>0</v>
      </c>
      <c r="AG13" s="14">
        <f t="shared" si="3"/>
        <v>0</v>
      </c>
      <c r="AH13" s="14">
        <f t="shared" si="3"/>
        <v>0</v>
      </c>
      <c r="AI13" s="14">
        <f t="shared" si="3"/>
        <v>0</v>
      </c>
      <c r="AJ13" s="14">
        <f t="shared" si="3"/>
        <v>0</v>
      </c>
      <c r="AK13" s="14">
        <f t="shared" si="3"/>
        <v>0</v>
      </c>
      <c r="AL13" s="14">
        <f t="shared" si="3"/>
        <v>0</v>
      </c>
      <c r="AM13" s="14">
        <f t="shared" si="3"/>
        <v>0</v>
      </c>
      <c r="AN13" s="14">
        <f t="shared" si="3"/>
        <v>0</v>
      </c>
      <c r="AO13" s="14">
        <f t="shared" si="3"/>
        <v>0</v>
      </c>
      <c r="AP13" s="14">
        <f t="shared" si="3"/>
        <v>0</v>
      </c>
      <c r="AQ13" s="14">
        <f t="shared" si="3"/>
        <v>0</v>
      </c>
      <c r="AR13" s="14">
        <f t="shared" si="3"/>
        <v>0</v>
      </c>
      <c r="AS13" s="14">
        <f t="shared" si="3"/>
        <v>0</v>
      </c>
    </row>
    <row r="14" spans="1:45" x14ac:dyDescent="0.2">
      <c r="A14" s="35"/>
      <c r="B14" s="135" t="s">
        <v>93</v>
      </c>
      <c r="C14" s="31" t="s">
        <v>1</v>
      </c>
      <c r="D14" s="31"/>
      <c r="E14" s="30"/>
      <c r="F14" s="192">
        <f t="shared" ref="F14:AS14" si="4">IF(F4&gt;lifetime,0,POWER(1+inflation,F4-$F$4)*SUM(F9:F10))</f>
        <v>-959759.62468472472</v>
      </c>
      <c r="G14" s="30">
        <f t="shared" si="4"/>
        <v>-959759.62468472472</v>
      </c>
      <c r="H14" s="30">
        <f t="shared" si="4"/>
        <v>-959759.62468472472</v>
      </c>
      <c r="I14" s="30">
        <f t="shared" si="4"/>
        <v>-959759.62468472472</v>
      </c>
      <c r="J14" s="30">
        <f t="shared" si="4"/>
        <v>-1559759.6246847247</v>
      </c>
      <c r="K14" s="30">
        <f t="shared" si="4"/>
        <v>-959759.62468472472</v>
      </c>
      <c r="L14" s="30">
        <f t="shared" si="4"/>
        <v>-959759.62468472472</v>
      </c>
      <c r="M14" s="30">
        <f t="shared" si="4"/>
        <v>-959759.62468472472</v>
      </c>
      <c r="N14" s="30">
        <f t="shared" si="4"/>
        <v>-959759.62468472472</v>
      </c>
      <c r="O14" s="30">
        <f t="shared" si="4"/>
        <v>-1559759.6246847247</v>
      </c>
      <c r="P14" s="30">
        <f t="shared" si="4"/>
        <v>-959759.62468472472</v>
      </c>
      <c r="Q14" s="30">
        <f t="shared" si="4"/>
        <v>-959759.62468472472</v>
      </c>
      <c r="R14" s="30">
        <f t="shared" si="4"/>
        <v>-959759.62468472472</v>
      </c>
      <c r="S14" s="30">
        <f t="shared" si="4"/>
        <v>-959759.62468472472</v>
      </c>
      <c r="T14" s="30">
        <f t="shared" si="4"/>
        <v>-1559759.6246847247</v>
      </c>
      <c r="U14" s="30">
        <f t="shared" si="4"/>
        <v>-959759.62468472472</v>
      </c>
      <c r="V14" s="30">
        <f t="shared" si="4"/>
        <v>-959759.62468472472</v>
      </c>
      <c r="W14" s="30">
        <f t="shared" si="4"/>
        <v>-959759.62468472472</v>
      </c>
      <c r="X14" s="30">
        <f t="shared" si="4"/>
        <v>-959759.62468472472</v>
      </c>
      <c r="Y14" s="30">
        <f t="shared" si="4"/>
        <v>-1559759.6246847247</v>
      </c>
      <c r="Z14" s="30">
        <f t="shared" si="4"/>
        <v>-959759.62468472472</v>
      </c>
      <c r="AA14" s="30">
        <f t="shared" si="4"/>
        <v>-959759.62468472472</v>
      </c>
      <c r="AB14" s="30">
        <f t="shared" si="4"/>
        <v>-959759.62468472472</v>
      </c>
      <c r="AC14" s="30">
        <f t="shared" si="4"/>
        <v>-959759.62468472472</v>
      </c>
      <c r="AD14" s="30">
        <f t="shared" si="4"/>
        <v>-1559759.6246847247</v>
      </c>
      <c r="AE14" s="30">
        <f t="shared" si="4"/>
        <v>-959759.62468472472</v>
      </c>
      <c r="AF14" s="30">
        <f t="shared" si="4"/>
        <v>-959759.62468472472</v>
      </c>
      <c r="AG14" s="30">
        <f t="shared" si="4"/>
        <v>-959759.62468472472</v>
      </c>
      <c r="AH14" s="30">
        <f t="shared" si="4"/>
        <v>-959759.62468472472</v>
      </c>
      <c r="AI14" s="30">
        <f t="shared" si="4"/>
        <v>-1559759.6246847247</v>
      </c>
      <c r="AJ14" s="30">
        <f t="shared" si="4"/>
        <v>0</v>
      </c>
      <c r="AK14" s="30">
        <f t="shared" si="4"/>
        <v>0</v>
      </c>
      <c r="AL14" s="30">
        <f t="shared" si="4"/>
        <v>0</v>
      </c>
      <c r="AM14" s="30">
        <f t="shared" si="4"/>
        <v>0</v>
      </c>
      <c r="AN14" s="30">
        <f t="shared" si="4"/>
        <v>0</v>
      </c>
      <c r="AO14" s="30">
        <f t="shared" si="4"/>
        <v>0</v>
      </c>
      <c r="AP14" s="30">
        <f t="shared" si="4"/>
        <v>0</v>
      </c>
      <c r="AQ14" s="30">
        <f t="shared" si="4"/>
        <v>0</v>
      </c>
      <c r="AR14" s="30">
        <f t="shared" si="4"/>
        <v>0</v>
      </c>
      <c r="AS14" s="105">
        <f t="shared" si="4"/>
        <v>0</v>
      </c>
    </row>
    <row r="15" spans="1:45" x14ac:dyDescent="0.2">
      <c r="A15" s="41"/>
      <c r="B15" s="41" t="s">
        <v>94</v>
      </c>
      <c r="C15" s="42" t="s">
        <v>1</v>
      </c>
      <c r="D15" s="42"/>
      <c r="E15" s="43"/>
      <c r="F15" s="43">
        <f>SUM(F13:F14)</f>
        <v>-959759.62468472472</v>
      </c>
      <c r="G15" s="43">
        <f t="shared" ref="G15:AS15" si="5">SUM(G13:G14)</f>
        <v>-959759.62468472472</v>
      </c>
      <c r="H15" s="43">
        <f t="shared" si="5"/>
        <v>-959759.62468472472</v>
      </c>
      <c r="I15" s="43">
        <f t="shared" si="5"/>
        <v>-959759.62468472472</v>
      </c>
      <c r="J15" s="43">
        <f t="shared" si="5"/>
        <v>-1559759.6246847247</v>
      </c>
      <c r="K15" s="43">
        <f t="shared" si="5"/>
        <v>-959759.62468472472</v>
      </c>
      <c r="L15" s="43">
        <f t="shared" si="5"/>
        <v>-959759.62468472472</v>
      </c>
      <c r="M15" s="43">
        <f t="shared" si="5"/>
        <v>-959759.62468472472</v>
      </c>
      <c r="N15" s="43">
        <f t="shared" si="5"/>
        <v>-959759.62468472472</v>
      </c>
      <c r="O15" s="43">
        <f t="shared" si="5"/>
        <v>-1559759.6246847247</v>
      </c>
      <c r="P15" s="43">
        <f t="shared" si="5"/>
        <v>-959759.62468472472</v>
      </c>
      <c r="Q15" s="43">
        <f t="shared" si="5"/>
        <v>-959759.62468472472</v>
      </c>
      <c r="R15" s="43">
        <f t="shared" si="5"/>
        <v>-959759.62468472472</v>
      </c>
      <c r="S15" s="43">
        <f t="shared" si="5"/>
        <v>-959759.62468472472</v>
      </c>
      <c r="T15" s="43">
        <f t="shared" si="5"/>
        <v>-1559759.6246847247</v>
      </c>
      <c r="U15" s="43">
        <f t="shared" si="5"/>
        <v>-959759.62468472472</v>
      </c>
      <c r="V15" s="43">
        <f t="shared" si="5"/>
        <v>-959759.62468472472</v>
      </c>
      <c r="W15" s="43">
        <f t="shared" si="5"/>
        <v>-959759.62468472472</v>
      </c>
      <c r="X15" s="43">
        <f t="shared" si="5"/>
        <v>-959759.62468472472</v>
      </c>
      <c r="Y15" s="43">
        <f t="shared" si="5"/>
        <v>-1559759.6246847247</v>
      </c>
      <c r="Z15" s="43">
        <f t="shared" si="5"/>
        <v>-959759.62468472472</v>
      </c>
      <c r="AA15" s="43">
        <f t="shared" si="5"/>
        <v>-959759.62468472472</v>
      </c>
      <c r="AB15" s="43">
        <f t="shared" si="5"/>
        <v>-959759.62468472472</v>
      </c>
      <c r="AC15" s="43">
        <f t="shared" si="5"/>
        <v>-959759.62468472472</v>
      </c>
      <c r="AD15" s="43">
        <f t="shared" si="5"/>
        <v>-1559759.6246847247</v>
      </c>
      <c r="AE15" s="43">
        <f t="shared" si="5"/>
        <v>-959759.62468472472</v>
      </c>
      <c r="AF15" s="43">
        <f t="shared" si="5"/>
        <v>-959759.62468472472</v>
      </c>
      <c r="AG15" s="43">
        <f t="shared" si="5"/>
        <v>-959759.62468472472</v>
      </c>
      <c r="AH15" s="43">
        <f t="shared" si="5"/>
        <v>-959759.62468472472</v>
      </c>
      <c r="AI15" s="43">
        <f t="shared" si="5"/>
        <v>-1559759.6246847247</v>
      </c>
      <c r="AJ15" s="43">
        <f t="shared" si="5"/>
        <v>0</v>
      </c>
      <c r="AK15" s="43">
        <f t="shared" si="5"/>
        <v>0</v>
      </c>
      <c r="AL15" s="43">
        <f t="shared" si="5"/>
        <v>0</v>
      </c>
      <c r="AM15" s="43">
        <f t="shared" si="5"/>
        <v>0</v>
      </c>
      <c r="AN15" s="43">
        <f t="shared" si="5"/>
        <v>0</v>
      </c>
      <c r="AO15" s="43">
        <f t="shared" si="5"/>
        <v>0</v>
      </c>
      <c r="AP15" s="43">
        <f t="shared" si="5"/>
        <v>0</v>
      </c>
      <c r="AQ15" s="43">
        <f t="shared" si="5"/>
        <v>0</v>
      </c>
      <c r="AR15" s="43">
        <f t="shared" si="5"/>
        <v>0</v>
      </c>
      <c r="AS15" s="44">
        <f t="shared" si="5"/>
        <v>0</v>
      </c>
    </row>
    <row r="16" spans="1:45" s="8" customFormat="1" ht="6.75" customHeight="1" x14ac:dyDescent="0.2">
      <c r="A16" s="19"/>
      <c r="B16" s="34"/>
      <c r="C16" s="29"/>
      <c r="D16" s="29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40"/>
    </row>
    <row r="17" spans="1:45" x14ac:dyDescent="0.2">
      <c r="A17" s="34"/>
      <c r="B17" s="112" t="s">
        <v>95</v>
      </c>
      <c r="C17" s="29" t="s">
        <v>1</v>
      </c>
      <c r="D17" s="29"/>
      <c r="E17" s="14"/>
      <c r="F17" s="14">
        <f>IF(F4&gt;depreciation_time,0,-CFpower!$C$30/depreciation_time)</f>
        <v>-2124265.4306492135</v>
      </c>
      <c r="G17" s="14">
        <f>IF(G4&gt;depreciation_time,0,-CFpower!$C$30/depreciation_time)</f>
        <v>-2124265.4306492135</v>
      </c>
      <c r="H17" s="14">
        <f>IF(H4&gt;depreciation_time,0,-CFpower!$C$30/depreciation_time)</f>
        <v>-2124265.4306492135</v>
      </c>
      <c r="I17" s="14">
        <f>IF(I4&gt;depreciation_time,0,-CFpower!$C$30/depreciation_time)</f>
        <v>-2124265.4306492135</v>
      </c>
      <c r="J17" s="14">
        <f>IF(J4&gt;depreciation_time,0,-CFpower!$C$30/depreciation_time)</f>
        <v>-2124265.4306492135</v>
      </c>
      <c r="K17" s="14">
        <f>IF(K4&gt;depreciation_time,0,-CFpower!$C$30/depreciation_time)</f>
        <v>-2124265.4306492135</v>
      </c>
      <c r="L17" s="14">
        <f>IF(L4&gt;depreciation_time,0,-CFpower!$C$30/depreciation_time)</f>
        <v>-2124265.4306492135</v>
      </c>
      <c r="M17" s="14">
        <f>IF(M4&gt;depreciation_time,0,-CFpower!$C$30/depreciation_time)</f>
        <v>-2124265.4306492135</v>
      </c>
      <c r="N17" s="14">
        <f>IF(N4&gt;depreciation_time,0,-CFpower!$C$30/depreciation_time)</f>
        <v>-2124265.4306492135</v>
      </c>
      <c r="O17" s="14">
        <f>IF(O4&gt;depreciation_time,0,-CFpower!$C$30/depreciation_time)</f>
        <v>-2124265.4306492135</v>
      </c>
      <c r="P17" s="14">
        <f>IF(P4&gt;depreciation_time,0,-CFpower!$C$30/depreciation_time)</f>
        <v>-2124265.4306492135</v>
      </c>
      <c r="Q17" s="14">
        <f>IF(Q4&gt;depreciation_time,0,-CFpower!$C$30/depreciation_time)</f>
        <v>-2124265.4306492135</v>
      </c>
      <c r="R17" s="14">
        <f>IF(R4&gt;depreciation_time,0,-CFpower!$C$30/depreciation_time)</f>
        <v>-2124265.4306492135</v>
      </c>
      <c r="S17" s="14">
        <f>IF(S4&gt;depreciation_time,0,-CFpower!$C$30/depreciation_time)</f>
        <v>-2124265.4306492135</v>
      </c>
      <c r="T17" s="14">
        <f>IF(T4&gt;depreciation_time,0,-CFpower!$C$30/depreciation_time)</f>
        <v>-2124265.4306492135</v>
      </c>
      <c r="U17" s="14">
        <f>IF(U4&gt;depreciation_time,0,-CFpower!$C$30/depreciation_time)</f>
        <v>-2124265.4306492135</v>
      </c>
      <c r="V17" s="14">
        <f>IF(V4&gt;depreciation_time,0,-CFpower!$C$30/depreciation_time)</f>
        <v>-2124265.4306492135</v>
      </c>
      <c r="W17" s="14">
        <f>IF(W4&gt;depreciation_time,0,-CFpower!$C$30/depreciation_time)</f>
        <v>-2124265.4306492135</v>
      </c>
      <c r="X17" s="14">
        <f>IF(X4&gt;depreciation_time,0,-CFpower!$C$30/depreciation_time)</f>
        <v>-2124265.4306492135</v>
      </c>
      <c r="Y17" s="14">
        <f>IF(Y4&gt;depreciation_time,0,-CFpower!$C$30/depreciation_time)</f>
        <v>-2124265.4306492135</v>
      </c>
      <c r="Z17" s="14">
        <f>IF(Z4&gt;depreciation_time,0,-CFpower!$C$30/depreciation_time)</f>
        <v>-2124265.4306492135</v>
      </c>
      <c r="AA17" s="14">
        <f>IF(AA4&gt;depreciation_time,0,-CFpower!$C$30/depreciation_time)</f>
        <v>-2124265.4306492135</v>
      </c>
      <c r="AB17" s="14">
        <f>IF(AB4&gt;depreciation_time,0,-CFpower!$C$30/depreciation_time)</f>
        <v>-2124265.4306492135</v>
      </c>
      <c r="AC17" s="14">
        <f>IF(AC4&gt;depreciation_time,0,-CFpower!$C$30/depreciation_time)</f>
        <v>-2124265.4306492135</v>
      </c>
      <c r="AD17" s="14">
        <f>IF(AD4&gt;depreciation_time,0,-CFpower!$C$30/depreciation_time)</f>
        <v>-2124265.4306492135</v>
      </c>
      <c r="AE17" s="14">
        <f>IF(AE4&gt;depreciation_time,0,-CFpower!$C$30/depreciation_time)</f>
        <v>-2124265.4306492135</v>
      </c>
      <c r="AF17" s="14">
        <f>IF(AF4&gt;depreciation_time,0,-CFpower!$C$30/depreciation_time)</f>
        <v>-2124265.4306492135</v>
      </c>
      <c r="AG17" s="14">
        <f>IF(AG4&gt;depreciation_time,0,-CFpower!$C$30/depreciation_time)</f>
        <v>-2124265.4306492135</v>
      </c>
      <c r="AH17" s="14">
        <f>IF(AH4&gt;depreciation_time,0,-CFpower!$C$30/depreciation_time)</f>
        <v>-2124265.4306492135</v>
      </c>
      <c r="AI17" s="14">
        <f>IF(AI4&gt;depreciation_time,0,-CFpower!$C$30/depreciation_time)</f>
        <v>-2124265.4306492135</v>
      </c>
      <c r="AJ17" s="14">
        <f>IF(AJ4&gt;depreciation_time,0,-CFpower!$C$30/depreciation_time)</f>
        <v>0</v>
      </c>
      <c r="AK17" s="14">
        <f>IF(AK4&gt;depreciation_time,0,-CFpower!$C$30/depreciation_time)</f>
        <v>0</v>
      </c>
      <c r="AL17" s="14">
        <f>IF(AL4&gt;depreciation_time,0,-CFpower!$C$30/depreciation_time)</f>
        <v>0</v>
      </c>
      <c r="AM17" s="14">
        <f>IF(AM4&gt;depreciation_time,0,-CFpower!$C$30/depreciation_time)</f>
        <v>0</v>
      </c>
      <c r="AN17" s="14">
        <f>IF(AN4&gt;depreciation_time,0,-CFpower!$C$30/depreciation_time)</f>
        <v>0</v>
      </c>
      <c r="AO17" s="14">
        <f>IF(AO4&gt;depreciation_time,0,-CFpower!$C$30/depreciation_time)</f>
        <v>0</v>
      </c>
      <c r="AP17" s="14">
        <f>IF(AP4&gt;depreciation_time,0,-CFpower!$C$30/depreciation_time)</f>
        <v>0</v>
      </c>
      <c r="AQ17" s="14">
        <f>IF(AQ4&gt;depreciation_time,0,-CFpower!$C$30/depreciation_time)</f>
        <v>0</v>
      </c>
      <c r="AR17" s="14">
        <f>IF(AR4&gt;depreciation_time,0,-CFpower!$C$30/depreciation_time)</f>
        <v>0</v>
      </c>
      <c r="AS17" s="40">
        <f>IF(AS4&gt;depreciation_time,0,-CFpower!$C$30/depreciation_time)</f>
        <v>0</v>
      </c>
    </row>
    <row r="18" spans="1:45" x14ac:dyDescent="0.2">
      <c r="A18" s="34"/>
      <c r="B18" s="112" t="s">
        <v>96</v>
      </c>
      <c r="C18" s="34" t="s">
        <v>1</v>
      </c>
      <c r="D18" s="34"/>
      <c r="E18" s="14"/>
      <c r="F18" s="14">
        <f>IF(F4&gt;term_loan,0,IPMT(Input_Output!$D$55,F4,term_loan,CFpower!$C$35))</f>
        <v>-3058942.2201348674</v>
      </c>
      <c r="G18" s="14">
        <f>IF(G4&gt;term_loan,0,IPMT(Input_Output!$D$55,G4,term_loan,CFpower!$C$35))</f>
        <v>-3020249.9307392128</v>
      </c>
      <c r="H18" s="14">
        <f>IF(H4&gt;term_loan,0,IPMT(Input_Output!$D$55,H4,term_loan,CFpower!$C$35))</f>
        <v>-2979236.1039798185</v>
      </c>
      <c r="I18" s="14">
        <f>IF(I4&gt;term_loan,0,IPMT(Input_Output!$D$55,I4,term_loan,CFpower!$C$35))</f>
        <v>-2935761.4476148612</v>
      </c>
      <c r="J18" s="14">
        <f>IF(J4&gt;term_loan,0,IPMT(Input_Output!$D$55,J4,term_loan,CFpower!$C$35))</f>
        <v>-2889678.3118680068</v>
      </c>
      <c r="K18" s="14">
        <f>IF(K4&gt;term_loan,0,IPMT(Input_Output!$D$55,K4,term_loan,CFpower!$C$35))</f>
        <v>-2840830.1879763403</v>
      </c>
      <c r="L18" s="14">
        <f>IF(L4&gt;term_loan,0,IPMT(Input_Output!$D$55,L4,term_loan,CFpower!$C$35))</f>
        <v>-2789051.1766511747</v>
      </c>
      <c r="M18" s="14">
        <f>IF(M4&gt;term_loan,0,IPMT(Input_Output!$D$55,M4,term_loan,CFpower!$C$35))</f>
        <v>-2734165.4246464986</v>
      </c>
      <c r="N18" s="14">
        <f>IF(N4&gt;term_loan,0,IPMT(Input_Output!$D$55,N4,term_loan,CFpower!$C$35))</f>
        <v>-2675986.5275215418</v>
      </c>
      <c r="O18" s="14">
        <f>IF(O4&gt;term_loan,0,IPMT(Input_Output!$D$55,O4,term_loan,CFpower!$C$35))</f>
        <v>-2614316.8965690876</v>
      </c>
      <c r="P18" s="14">
        <f>IF(P4&gt;term_loan,0,IPMT(Input_Output!$D$55,P4,term_loan,CFpower!$C$35))</f>
        <v>-2548947.0877594864</v>
      </c>
      <c r="Q18" s="14">
        <f>IF(Q4&gt;term_loan,0,IPMT(Input_Output!$D$55,Q4,term_loan,CFpower!$C$35))</f>
        <v>-2479655.0904213088</v>
      </c>
      <c r="R18" s="14">
        <f>IF(R4&gt;term_loan,0,IPMT(Input_Output!$D$55,R4,term_loan,CFpower!$C$35))</f>
        <v>-2406205.5732428413</v>
      </c>
      <c r="S18" s="14">
        <f>IF(S4&gt;term_loan,0,IPMT(Input_Output!$D$55,S4,term_loan,CFpower!$C$35))</f>
        <v>-2328349.0850336659</v>
      </c>
      <c r="T18" s="14">
        <f>IF(T4&gt;term_loan,0,IPMT(Input_Output!$D$55,T4,term_loan,CFpower!$C$35))</f>
        <v>-2245821.2075319383</v>
      </c>
      <c r="U18" s="14">
        <f>IF(U4&gt;term_loan,0,IPMT(Input_Output!$D$55,U4,term_loan,CFpower!$C$35))</f>
        <v>-2158341.6573801083</v>
      </c>
      <c r="V18" s="14">
        <f>IF(V4&gt;term_loan,0,IPMT(Input_Output!$D$55,V4,term_loan,CFpower!$C$35))</f>
        <v>-2065613.3342191679</v>
      </c>
      <c r="W18" s="14">
        <f>IF(W4&gt;term_loan,0,IPMT(Input_Output!$D$55,W4,term_loan,CFpower!$C$35))</f>
        <v>-1967321.311668572</v>
      </c>
      <c r="X18" s="14">
        <f>IF(X4&gt;term_loan,0,IPMT(Input_Output!$D$55,X4,term_loan,CFpower!$C$35))</f>
        <v>-1863131.7677649397</v>
      </c>
      <c r="Y18" s="14">
        <f>IF(Y4&gt;term_loan,0,IPMT(Input_Output!$D$55,Y4,term_loan,CFpower!$C$35))</f>
        <v>-1752690.8512270895</v>
      </c>
      <c r="Z18" s="14">
        <f>IF(Z4&gt;term_loan,0,IPMT(Input_Output!$D$55,Z4,term_loan,CFpower!$C$35))</f>
        <v>-1635623.4796969683</v>
      </c>
      <c r="AA18" s="14">
        <f>IF(AA4&gt;term_loan,0,IPMT(Input_Output!$D$55,AA4,term_loan,CFpower!$C$35))</f>
        <v>-1511532.0658750401</v>
      </c>
      <c r="AB18" s="14">
        <f>IF(AB4&gt;term_loan,0,IPMT(Input_Output!$D$55,AB4,term_loan,CFpower!$C$35))</f>
        <v>-1379995.1672237958</v>
      </c>
      <c r="AC18" s="14">
        <f>IF(AC4&gt;term_loan,0,IPMT(Input_Output!$D$55,AC4,term_loan,CFpower!$C$35))</f>
        <v>-1240566.0546534772</v>
      </c>
      <c r="AD18" s="14">
        <f>IF(AD4&gt;term_loan,0,IPMT(Input_Output!$D$55,AD4,term_loan,CFpower!$C$35))</f>
        <v>-1092771.1953289392</v>
      </c>
      <c r="AE18" s="14">
        <f>IF(AE4&gt;term_loan,0,IPMT(Input_Output!$D$55,AE4,term_loan,CFpower!$C$35))</f>
        <v>-936108.6444449292</v>
      </c>
      <c r="AF18" s="14">
        <f>IF(AF4&gt;term_loan,0,IPMT(Input_Output!$D$55,AF4,term_loan,CFpower!$C$35))</f>
        <v>-770046.34050787846</v>
      </c>
      <c r="AG18" s="14">
        <f>IF(AG4&gt;term_loan,0,IPMT(Input_Output!$D$55,AG4,term_loan,CFpower!$C$35))</f>
        <v>-594020.29833460448</v>
      </c>
      <c r="AH18" s="14">
        <f>IF(AH4&gt;term_loan,0,IPMT(Input_Output!$D$55,AH4,term_loan,CFpower!$C$35))</f>
        <v>-407432.69363093429</v>
      </c>
      <c r="AI18" s="14">
        <f>IF(AI4&gt;term_loan,0,IPMT(Input_Output!$D$55,AI4,term_loan,CFpower!$C$35))</f>
        <v>-209649.83264504388</v>
      </c>
      <c r="AJ18" s="14">
        <f>IF(AJ4&gt;term_loan,0,IPMT(Input_Output!$D$55,AJ4,term_loan,CFpower!$C$35))</f>
        <v>0</v>
      </c>
      <c r="AK18" s="14">
        <f>IF(AK4&gt;term_loan,0,IPMT(Input_Output!$D$55,AK4,term_loan,CFpower!$C$35))</f>
        <v>0</v>
      </c>
      <c r="AL18" s="14">
        <f>IF(AL4&gt;term_loan,0,IPMT(Input_Output!$D$55,AL4,term_loan,CFpower!$C$35))</f>
        <v>0</v>
      </c>
      <c r="AM18" s="14">
        <f>IF(AM4&gt;term_loan,0,IPMT(Input_Output!$D$55,AM4,term_loan,CFpower!$C$35))</f>
        <v>0</v>
      </c>
      <c r="AN18" s="14">
        <f>IF(AN4&gt;term_loan,0,IPMT(Input_Output!$D$55,AN4,term_loan,CFpower!$C$35))</f>
        <v>0</v>
      </c>
      <c r="AO18" s="14">
        <f>IF(AO4&gt;term_loan,0,IPMT(Input_Output!$D$55,AO4,term_loan,CFpower!$C$35))</f>
        <v>0</v>
      </c>
      <c r="AP18" s="14">
        <f>IF(AP4&gt;term_loan,0,IPMT(Input_Output!$D$55,AP4,term_loan,CFpower!$C$35))</f>
        <v>0</v>
      </c>
      <c r="AQ18" s="14">
        <f>IF(AQ4&gt;term_loan,0,IPMT(Input_Output!$D$55,AQ4,term_loan,CFpower!$C$35))</f>
        <v>0</v>
      </c>
      <c r="AR18" s="14">
        <f>IF(AR4&gt;term_loan,0,IPMT(Input_Output!$D$55,AR4,term_loan,CFpower!$C$35))</f>
        <v>0</v>
      </c>
      <c r="AS18" s="40">
        <f>IF(AS4&gt;term_loan,0,IPMT(Input_Output!$D$55,AS4,term_loan,CFpower!$C$35))</f>
        <v>0</v>
      </c>
    </row>
    <row r="19" spans="1:45" x14ac:dyDescent="0.2">
      <c r="A19" s="34"/>
      <c r="B19" s="112" t="s">
        <v>97</v>
      </c>
      <c r="C19" s="34" t="s">
        <v>1</v>
      </c>
      <c r="D19" s="34"/>
      <c r="E19" s="14"/>
      <c r="F19" s="14">
        <f>IF(F4&gt;term_loan,0,PPMT(Input_Output!$D$55,F4,term_loan,CFpower!$C$35))</f>
        <v>-644871.48992757499</v>
      </c>
      <c r="G19" s="14">
        <f>IF(G4&gt;term_loan,0,PPMT(Input_Output!$D$55,G4,term_loan,CFpower!$C$35))</f>
        <v>-683563.77932322957</v>
      </c>
      <c r="H19" s="14">
        <f>IF(H4&gt;term_loan,0,PPMT(Input_Output!$D$55,H4,term_loan,CFpower!$C$35))</f>
        <v>-724577.60608262336</v>
      </c>
      <c r="I19" s="14">
        <f>IF(I4&gt;term_loan,0,PPMT(Input_Output!$D$55,I4,term_loan,CFpower!$C$35))</f>
        <v>-768052.2624475807</v>
      </c>
      <c r="J19" s="14">
        <f>IF(J4&gt;term_loan,0,PPMT(Input_Output!$D$55,J4,term_loan,CFpower!$C$35))</f>
        <v>-814135.39819443552</v>
      </c>
      <c r="K19" s="14">
        <f>IF(K4&gt;term_loan,0,PPMT(Input_Output!$D$55,K4,term_loan,CFpower!$C$35))</f>
        <v>-862983.52208610158</v>
      </c>
      <c r="L19" s="14">
        <f>IF(L4&gt;term_loan,0,PPMT(Input_Output!$D$55,L4,term_loan,CFpower!$C$35))</f>
        <v>-914762.53341126791</v>
      </c>
      <c r="M19" s="14">
        <f>IF(M4&gt;term_loan,0,PPMT(Input_Output!$D$55,M4,term_loan,CFpower!$C$35))</f>
        <v>-969648.28541594371</v>
      </c>
      <c r="N19" s="14">
        <f>IF(N4&gt;term_loan,0,PPMT(Input_Output!$D$55,N4,term_loan,CFpower!$C$35))</f>
        <v>-1027827.1825409002</v>
      </c>
      <c r="O19" s="14">
        <f>IF(O4&gt;term_loan,0,PPMT(Input_Output!$D$55,O4,term_loan,CFpower!$C$35))</f>
        <v>-1089496.8134933542</v>
      </c>
      <c r="P19" s="14">
        <f>IF(P4&gt;term_loan,0,PPMT(Input_Output!$D$55,P4,term_loan,CFpower!$C$35))</f>
        <v>-1154866.6223029555</v>
      </c>
      <c r="Q19" s="14">
        <f>IF(Q4&gt;term_loan,0,PPMT(Input_Output!$D$55,Q4,term_loan,CFpower!$C$35))</f>
        <v>-1224158.6196411329</v>
      </c>
      <c r="R19" s="14">
        <f>IF(R4&gt;term_loan,0,PPMT(Input_Output!$D$55,R4,term_loan,CFpower!$C$35))</f>
        <v>-1297608.1368196008</v>
      </c>
      <c r="S19" s="14">
        <f>IF(S4&gt;term_loan,0,PPMT(Input_Output!$D$55,S4,term_loan,CFpower!$C$35))</f>
        <v>-1375464.6250287769</v>
      </c>
      <c r="T19" s="14">
        <f>IF(T4&gt;term_loan,0,PPMT(Input_Output!$D$55,T4,term_loan,CFpower!$C$35))</f>
        <v>-1457992.5025305036</v>
      </c>
      <c r="U19" s="14">
        <f>IF(U4&gt;term_loan,0,PPMT(Input_Output!$D$55,U4,term_loan,CFpower!$C$35))</f>
        <v>-1545472.0526823339</v>
      </c>
      <c r="V19" s="14">
        <f>IF(V4&gt;term_loan,0,PPMT(Input_Output!$D$55,V4,term_loan,CFpower!$C$35))</f>
        <v>-1638200.3758432739</v>
      </c>
      <c r="W19" s="14">
        <f>IF(W4&gt;term_loan,0,PPMT(Input_Output!$D$55,W4,term_loan,CFpower!$C$35))</f>
        <v>-1736492.3983938703</v>
      </c>
      <c r="X19" s="14">
        <f>IF(X4&gt;term_loan,0,PPMT(Input_Output!$D$55,X4,term_loan,CFpower!$C$35))</f>
        <v>-1840681.9422975027</v>
      </c>
      <c r="Y19" s="14">
        <f>IF(Y4&gt;term_loan,0,PPMT(Input_Output!$D$55,Y4,term_loan,CFpower!$C$35))</f>
        <v>-1951122.8588353528</v>
      </c>
      <c r="Z19" s="14">
        <f>IF(Z4&gt;term_loan,0,PPMT(Input_Output!$D$55,Z4,term_loan,CFpower!$C$35))</f>
        <v>-2068190.2303654735</v>
      </c>
      <c r="AA19" s="14">
        <f>IF(AA4&gt;term_loan,0,PPMT(Input_Output!$D$55,AA4,term_loan,CFpower!$C$35))</f>
        <v>-2192281.644187402</v>
      </c>
      <c r="AB19" s="14">
        <f>IF(AB4&gt;term_loan,0,PPMT(Input_Output!$D$55,AB4,term_loan,CFpower!$C$35))</f>
        <v>-2323818.5428386461</v>
      </c>
      <c r="AC19" s="14">
        <f>IF(AC4&gt;term_loan,0,PPMT(Input_Output!$D$55,AC4,term_loan,CFpower!$C$35))</f>
        <v>-2463247.655408965</v>
      </c>
      <c r="AD19" s="14">
        <f>IF(AD4&gt;term_loan,0,PPMT(Input_Output!$D$55,AD4,term_loan,CFpower!$C$35))</f>
        <v>-2611042.5147335026</v>
      </c>
      <c r="AE19" s="14">
        <f>IF(AE4&gt;term_loan,0,PPMT(Input_Output!$D$55,AE4,term_loan,CFpower!$C$35))</f>
        <v>-2767705.0656175134</v>
      </c>
      <c r="AF19" s="14">
        <f>IF(AF4&gt;term_loan,0,PPMT(Input_Output!$D$55,AF4,term_loan,CFpower!$C$35))</f>
        <v>-2933767.3695545639</v>
      </c>
      <c r="AG19" s="14">
        <f>IF(AG4&gt;term_loan,0,PPMT(Input_Output!$D$55,AG4,term_loan,CFpower!$C$35))</f>
        <v>-3109793.4117278378</v>
      </c>
      <c r="AH19" s="14">
        <f>IF(AH4&gt;term_loan,0,PPMT(Input_Output!$D$55,AH4,term_loan,CFpower!$C$35))</f>
        <v>-3296381.0164315081</v>
      </c>
      <c r="AI19" s="14">
        <f>IF(AI4&gt;term_loan,0,PPMT(Input_Output!$D$55,AI4,term_loan,CFpower!$C$35))</f>
        <v>-3494163.8774173982</v>
      </c>
      <c r="AJ19" s="14">
        <f>IF(AJ4&gt;term_loan,0,PPMT(Input_Output!$D$55,AJ4,term_loan,CFpower!$C$35))</f>
        <v>0</v>
      </c>
      <c r="AK19" s="14">
        <f>IF(AK4&gt;term_loan,0,PPMT(Input_Output!$D$55,AK4,term_loan,CFpower!$C$35))</f>
        <v>0</v>
      </c>
      <c r="AL19" s="14">
        <f>IF(AL4&gt;term_loan,0,PPMT(Input_Output!$D$55,AL4,term_loan,CFpower!$C$35))</f>
        <v>0</v>
      </c>
      <c r="AM19" s="14">
        <f>IF(AM4&gt;term_loan,0,PPMT(Input_Output!$D$55,AM4,term_loan,CFpower!$C$35))</f>
        <v>0</v>
      </c>
      <c r="AN19" s="14">
        <f>IF(AN4&gt;term_loan,0,PPMT(Input_Output!$D$55,AN4,term_loan,CFpower!$C$35))</f>
        <v>0</v>
      </c>
      <c r="AO19" s="14">
        <f>IF(AO4&gt;term_loan,0,PPMT(Input_Output!$D$55,AO4,term_loan,CFpower!$C$35))</f>
        <v>0</v>
      </c>
      <c r="AP19" s="14">
        <f>IF(AP4&gt;term_loan,0,PPMT(Input_Output!$D$55,AP4,term_loan,CFpower!$C$35))</f>
        <v>0</v>
      </c>
      <c r="AQ19" s="14">
        <f>IF(AQ4&gt;term_loan,0,PPMT(Input_Output!$D$55,AQ4,term_loan,CFpower!$C$35))</f>
        <v>0</v>
      </c>
      <c r="AR19" s="14">
        <f>IF(AR4&gt;term_loan,0,PPMT(Input_Output!$D$55,AR4,term_loan,CFpower!$C$35))</f>
        <v>0</v>
      </c>
      <c r="AS19" s="40">
        <f>IF(AS4&gt;term_loan,0,PPMT(Input_Output!$D$55,AS4,term_loan,CFpower!$C$35))</f>
        <v>0</v>
      </c>
    </row>
    <row r="20" spans="1:45" s="4" customFormat="1" x14ac:dyDescent="0.2">
      <c r="A20" s="34"/>
      <c r="B20" s="112" t="s">
        <v>98</v>
      </c>
      <c r="C20" s="34" t="s">
        <v>1</v>
      </c>
      <c r="D20" s="34"/>
      <c r="E20" s="14"/>
      <c r="F20" s="14">
        <f>SUM(F18,F19)</f>
        <v>-3703813.7100624423</v>
      </c>
      <c r="G20" s="14">
        <f t="shared" ref="G20:AS20" si="6">SUM(G18,G19)</f>
        <v>-3703813.7100624423</v>
      </c>
      <c r="H20" s="14">
        <f t="shared" si="6"/>
        <v>-3703813.7100624419</v>
      </c>
      <c r="I20" s="14">
        <f t="shared" si="6"/>
        <v>-3703813.7100624419</v>
      </c>
      <c r="J20" s="14">
        <f t="shared" si="6"/>
        <v>-3703813.7100624423</v>
      </c>
      <c r="K20" s="14">
        <f t="shared" si="6"/>
        <v>-3703813.7100624419</v>
      </c>
      <c r="L20" s="14">
        <f t="shared" si="6"/>
        <v>-3703813.7100624423</v>
      </c>
      <c r="M20" s="14">
        <f t="shared" si="6"/>
        <v>-3703813.7100624423</v>
      </c>
      <c r="N20" s="14">
        <f t="shared" si="6"/>
        <v>-3703813.7100624419</v>
      </c>
      <c r="O20" s="14">
        <f t="shared" si="6"/>
        <v>-3703813.7100624419</v>
      </c>
      <c r="P20" s="14">
        <f t="shared" si="6"/>
        <v>-3703813.7100624419</v>
      </c>
      <c r="Q20" s="14">
        <f t="shared" si="6"/>
        <v>-3703813.7100624414</v>
      </c>
      <c r="R20" s="14">
        <f t="shared" si="6"/>
        <v>-3703813.7100624423</v>
      </c>
      <c r="S20" s="14">
        <f t="shared" si="6"/>
        <v>-3703813.7100624428</v>
      </c>
      <c r="T20" s="14">
        <f t="shared" si="6"/>
        <v>-3703813.7100624419</v>
      </c>
      <c r="U20" s="14">
        <f t="shared" si="6"/>
        <v>-3703813.7100624423</v>
      </c>
      <c r="V20" s="14">
        <f t="shared" si="6"/>
        <v>-3703813.7100624419</v>
      </c>
      <c r="W20" s="14">
        <f t="shared" si="6"/>
        <v>-3703813.7100624423</v>
      </c>
      <c r="X20" s="14">
        <f t="shared" si="6"/>
        <v>-3703813.7100624423</v>
      </c>
      <c r="Y20" s="14">
        <f t="shared" si="6"/>
        <v>-3703813.7100624423</v>
      </c>
      <c r="Z20" s="14">
        <f t="shared" si="6"/>
        <v>-3703813.7100624419</v>
      </c>
      <c r="AA20" s="14">
        <f t="shared" si="6"/>
        <v>-3703813.7100624423</v>
      </c>
      <c r="AB20" s="14">
        <f t="shared" si="6"/>
        <v>-3703813.7100624419</v>
      </c>
      <c r="AC20" s="14">
        <f t="shared" si="6"/>
        <v>-3703813.7100624423</v>
      </c>
      <c r="AD20" s="14">
        <f t="shared" si="6"/>
        <v>-3703813.7100624419</v>
      </c>
      <c r="AE20" s="14">
        <f t="shared" si="6"/>
        <v>-3703813.7100624423</v>
      </c>
      <c r="AF20" s="14">
        <f t="shared" si="6"/>
        <v>-3703813.7100624423</v>
      </c>
      <c r="AG20" s="14">
        <f t="shared" si="6"/>
        <v>-3703813.7100624423</v>
      </c>
      <c r="AH20" s="14">
        <f t="shared" si="6"/>
        <v>-3703813.7100624423</v>
      </c>
      <c r="AI20" s="14">
        <f t="shared" si="6"/>
        <v>-3703813.7100624419</v>
      </c>
      <c r="AJ20" s="14">
        <f t="shared" si="6"/>
        <v>0</v>
      </c>
      <c r="AK20" s="14">
        <f t="shared" si="6"/>
        <v>0</v>
      </c>
      <c r="AL20" s="14">
        <f t="shared" si="6"/>
        <v>0</v>
      </c>
      <c r="AM20" s="14">
        <f t="shared" si="6"/>
        <v>0</v>
      </c>
      <c r="AN20" s="14">
        <f t="shared" si="6"/>
        <v>0</v>
      </c>
      <c r="AO20" s="14">
        <f t="shared" si="6"/>
        <v>0</v>
      </c>
      <c r="AP20" s="14">
        <f t="shared" si="6"/>
        <v>0</v>
      </c>
      <c r="AQ20" s="14">
        <f t="shared" si="6"/>
        <v>0</v>
      </c>
      <c r="AR20" s="14">
        <f t="shared" si="6"/>
        <v>0</v>
      </c>
      <c r="AS20" s="40">
        <f t="shared" si="6"/>
        <v>0</v>
      </c>
    </row>
    <row r="21" spans="1:45" ht="6.75" customHeight="1" x14ac:dyDescent="0.2">
      <c r="A21" s="19"/>
      <c r="B21" s="34"/>
      <c r="C21" s="34"/>
      <c r="D21" s="3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40"/>
    </row>
    <row r="22" spans="1:45" x14ac:dyDescent="0.2">
      <c r="A22" s="34"/>
      <c r="B22" s="112" t="s">
        <v>100</v>
      </c>
      <c r="C22" s="34" t="s">
        <v>1</v>
      </c>
      <c r="D22" s="34"/>
      <c r="E22" s="14"/>
      <c r="F22" s="14">
        <f>F15+F17+F18</f>
        <v>-6142967.2754688058</v>
      </c>
      <c r="G22" s="14">
        <f t="shared" ref="G22:AS22" si="7">G15+G17+G18</f>
        <v>-6104274.9860731512</v>
      </c>
      <c r="H22" s="14">
        <f t="shared" si="7"/>
        <v>-6063261.159313757</v>
      </c>
      <c r="I22" s="14">
        <f t="shared" si="7"/>
        <v>-6019786.5029488001</v>
      </c>
      <c r="J22" s="14">
        <f t="shared" si="7"/>
        <v>-6573703.3672019448</v>
      </c>
      <c r="K22" s="14">
        <f t="shared" si="7"/>
        <v>-5924855.2433102783</v>
      </c>
      <c r="L22" s="14">
        <f t="shared" si="7"/>
        <v>-5873076.2319851127</v>
      </c>
      <c r="M22" s="14">
        <f t="shared" si="7"/>
        <v>-5818190.4799804371</v>
      </c>
      <c r="N22" s="14">
        <f t="shared" si="7"/>
        <v>-5760011.5828554798</v>
      </c>
      <c r="O22" s="14">
        <f t="shared" si="7"/>
        <v>-6298341.9519030266</v>
      </c>
      <c r="P22" s="14">
        <f t="shared" si="7"/>
        <v>-5632972.1430934248</v>
      </c>
      <c r="Q22" s="14">
        <f t="shared" si="7"/>
        <v>-5563680.1457552472</v>
      </c>
      <c r="R22" s="14">
        <f t="shared" si="7"/>
        <v>-5490230.6285767797</v>
      </c>
      <c r="S22" s="14">
        <f t="shared" si="7"/>
        <v>-5412374.1403676048</v>
      </c>
      <c r="T22" s="14">
        <f t="shared" si="7"/>
        <v>-5929846.2628658768</v>
      </c>
      <c r="U22" s="14">
        <f t="shared" si="7"/>
        <v>-5242366.7127140462</v>
      </c>
      <c r="V22" s="14">
        <f t="shared" si="7"/>
        <v>-5149638.3895531064</v>
      </c>
      <c r="W22" s="14">
        <f t="shared" si="7"/>
        <v>-5051346.3670025105</v>
      </c>
      <c r="X22" s="14">
        <f t="shared" si="7"/>
        <v>-4947156.8230988784</v>
      </c>
      <c r="Y22" s="14">
        <f t="shared" si="7"/>
        <v>-5436715.9065610282</v>
      </c>
      <c r="Z22" s="14">
        <f t="shared" si="7"/>
        <v>-4719648.535030907</v>
      </c>
      <c r="AA22" s="14">
        <f t="shared" si="7"/>
        <v>-4595557.1212089788</v>
      </c>
      <c r="AB22" s="14">
        <f t="shared" si="7"/>
        <v>-4464020.2225577347</v>
      </c>
      <c r="AC22" s="14">
        <f t="shared" si="7"/>
        <v>-4324591.1099874154</v>
      </c>
      <c r="AD22" s="14">
        <f t="shared" si="7"/>
        <v>-4776796.2506628782</v>
      </c>
      <c r="AE22" s="14">
        <f t="shared" si="7"/>
        <v>-4020133.6997788679</v>
      </c>
      <c r="AF22" s="14">
        <f t="shared" si="7"/>
        <v>-3854071.3958418169</v>
      </c>
      <c r="AG22" s="14">
        <f t="shared" si="7"/>
        <v>-3678045.353668543</v>
      </c>
      <c r="AH22" s="14">
        <f t="shared" si="7"/>
        <v>-3491457.7489648727</v>
      </c>
      <c r="AI22" s="14">
        <f t="shared" si="7"/>
        <v>-3893674.8879789822</v>
      </c>
      <c r="AJ22" s="14">
        <f t="shared" si="7"/>
        <v>0</v>
      </c>
      <c r="AK22" s="14">
        <f t="shared" si="7"/>
        <v>0</v>
      </c>
      <c r="AL22" s="14">
        <f t="shared" si="7"/>
        <v>0</v>
      </c>
      <c r="AM22" s="14">
        <f t="shared" si="7"/>
        <v>0</v>
      </c>
      <c r="AN22" s="14">
        <f t="shared" si="7"/>
        <v>0</v>
      </c>
      <c r="AO22" s="14">
        <f t="shared" si="7"/>
        <v>0</v>
      </c>
      <c r="AP22" s="14">
        <f t="shared" si="7"/>
        <v>0</v>
      </c>
      <c r="AQ22" s="14">
        <f t="shared" si="7"/>
        <v>0</v>
      </c>
      <c r="AR22" s="14">
        <f t="shared" si="7"/>
        <v>0</v>
      </c>
      <c r="AS22" s="40">
        <f t="shared" si="7"/>
        <v>0</v>
      </c>
    </row>
    <row r="23" spans="1:45" x14ac:dyDescent="0.2">
      <c r="A23" s="34"/>
      <c r="B23" s="112" t="s">
        <v>99</v>
      </c>
      <c r="C23" s="166" t="s">
        <v>1</v>
      </c>
      <c r="D23" s="34"/>
      <c r="E23" s="14"/>
      <c r="F23" s="14">
        <f t="shared" ref="F23:AS23" si="8">-tax*F22</f>
        <v>1535741.8188672015</v>
      </c>
      <c r="G23" s="14">
        <f t="shared" si="8"/>
        <v>1526068.7465182878</v>
      </c>
      <c r="H23" s="14">
        <f t="shared" si="8"/>
        <v>1515815.2898284392</v>
      </c>
      <c r="I23" s="14">
        <f t="shared" si="8"/>
        <v>1504946.6257372</v>
      </c>
      <c r="J23" s="14">
        <f t="shared" si="8"/>
        <v>1643425.8418004862</v>
      </c>
      <c r="K23" s="14">
        <f t="shared" si="8"/>
        <v>1481213.8108275696</v>
      </c>
      <c r="L23" s="14">
        <f t="shared" si="8"/>
        <v>1468269.0579962782</v>
      </c>
      <c r="M23" s="14">
        <f t="shared" si="8"/>
        <v>1454547.6199951093</v>
      </c>
      <c r="N23" s="14">
        <f t="shared" si="8"/>
        <v>1440002.8957138699</v>
      </c>
      <c r="O23" s="14">
        <f t="shared" si="8"/>
        <v>1574585.4879757566</v>
      </c>
      <c r="P23" s="14">
        <f t="shared" si="8"/>
        <v>1408243.0357733562</v>
      </c>
      <c r="Q23" s="14">
        <f t="shared" si="8"/>
        <v>1390920.0364388118</v>
      </c>
      <c r="R23" s="14">
        <f t="shared" si="8"/>
        <v>1372557.6571441949</v>
      </c>
      <c r="S23" s="14">
        <f t="shared" si="8"/>
        <v>1353093.5350919012</v>
      </c>
      <c r="T23" s="14">
        <f t="shared" si="8"/>
        <v>1482461.5657164692</v>
      </c>
      <c r="U23" s="14">
        <f t="shared" si="8"/>
        <v>1310591.6781785116</v>
      </c>
      <c r="V23" s="14">
        <f t="shared" si="8"/>
        <v>1287409.5973882766</v>
      </c>
      <c r="W23" s="14">
        <f t="shared" si="8"/>
        <v>1262836.5917506276</v>
      </c>
      <c r="X23" s="14">
        <f t="shared" si="8"/>
        <v>1236789.2057747196</v>
      </c>
      <c r="Y23" s="14">
        <f t="shared" si="8"/>
        <v>1359178.9766402571</v>
      </c>
      <c r="Z23" s="14">
        <f t="shared" si="8"/>
        <v>1179912.1337577268</v>
      </c>
      <c r="AA23" s="14">
        <f t="shared" si="8"/>
        <v>1148889.2803022447</v>
      </c>
      <c r="AB23" s="14">
        <f t="shared" si="8"/>
        <v>1116005.0556394337</v>
      </c>
      <c r="AC23" s="14">
        <f t="shared" si="8"/>
        <v>1081147.7774968538</v>
      </c>
      <c r="AD23" s="14">
        <f t="shared" si="8"/>
        <v>1194199.0626657195</v>
      </c>
      <c r="AE23" s="14">
        <f t="shared" si="8"/>
        <v>1005033.424944717</v>
      </c>
      <c r="AF23" s="14">
        <f t="shared" si="8"/>
        <v>963517.84896045423</v>
      </c>
      <c r="AG23" s="14">
        <f t="shared" si="8"/>
        <v>919511.33841713576</v>
      </c>
      <c r="AH23" s="14">
        <f t="shared" si="8"/>
        <v>872864.43724121817</v>
      </c>
      <c r="AI23" s="14">
        <f t="shared" si="8"/>
        <v>973418.72199474555</v>
      </c>
      <c r="AJ23" s="14">
        <f t="shared" si="8"/>
        <v>0</v>
      </c>
      <c r="AK23" s="14">
        <f t="shared" si="8"/>
        <v>0</v>
      </c>
      <c r="AL23" s="14">
        <f t="shared" si="8"/>
        <v>0</v>
      </c>
      <c r="AM23" s="14">
        <f t="shared" si="8"/>
        <v>0</v>
      </c>
      <c r="AN23" s="14">
        <f t="shared" si="8"/>
        <v>0</v>
      </c>
      <c r="AO23" s="14">
        <f t="shared" si="8"/>
        <v>0</v>
      </c>
      <c r="AP23" s="14">
        <f t="shared" si="8"/>
        <v>0</v>
      </c>
      <c r="AQ23" s="14">
        <f t="shared" si="8"/>
        <v>0</v>
      </c>
      <c r="AR23" s="14">
        <f t="shared" si="8"/>
        <v>0</v>
      </c>
      <c r="AS23" s="40">
        <f t="shared" si="8"/>
        <v>0</v>
      </c>
    </row>
    <row r="24" spans="1:45" x14ac:dyDescent="0.2">
      <c r="A24" s="19"/>
      <c r="B24" s="34"/>
      <c r="C24" s="34"/>
      <c r="D24" s="3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40"/>
    </row>
    <row r="25" spans="1:45" x14ac:dyDescent="0.2">
      <c r="A25" s="41"/>
      <c r="B25" s="41" t="s">
        <v>101</v>
      </c>
      <c r="C25" s="41" t="s">
        <v>1</v>
      </c>
      <c r="D25" s="41"/>
      <c r="E25" s="43"/>
      <c r="F25" s="43">
        <f>F15+F20+F23</f>
        <v>-3127831.5158799659</v>
      </c>
      <c r="G25" s="43">
        <f t="shared" ref="G25:AS25" si="9">G15+G20+G23</f>
        <v>-3137504.5882288795</v>
      </c>
      <c r="H25" s="43">
        <f t="shared" si="9"/>
        <v>-3147758.0449187271</v>
      </c>
      <c r="I25" s="43">
        <f t="shared" si="9"/>
        <v>-3158626.7090099663</v>
      </c>
      <c r="J25" s="43">
        <f t="shared" si="9"/>
        <v>-3620147.4929466811</v>
      </c>
      <c r="K25" s="43">
        <f t="shared" si="9"/>
        <v>-3182359.5239195968</v>
      </c>
      <c r="L25" s="43">
        <f t="shared" si="9"/>
        <v>-3195304.2767508891</v>
      </c>
      <c r="M25" s="43">
        <f t="shared" si="9"/>
        <v>-3209025.714752058</v>
      </c>
      <c r="N25" s="43">
        <f t="shared" si="9"/>
        <v>-3223570.4390332964</v>
      </c>
      <c r="O25" s="43">
        <f t="shared" si="9"/>
        <v>-3688987.8467714097</v>
      </c>
      <c r="P25" s="43">
        <f t="shared" si="9"/>
        <v>-3255330.2989738099</v>
      </c>
      <c r="Q25" s="43">
        <f t="shared" si="9"/>
        <v>-3272653.2983083548</v>
      </c>
      <c r="R25" s="43">
        <f t="shared" si="9"/>
        <v>-3291015.6776029724</v>
      </c>
      <c r="S25" s="43">
        <f t="shared" si="9"/>
        <v>-3310479.7996552661</v>
      </c>
      <c r="T25" s="43">
        <f t="shared" si="9"/>
        <v>-3781111.7690306972</v>
      </c>
      <c r="U25" s="43">
        <f t="shared" si="9"/>
        <v>-3352981.6565686557</v>
      </c>
      <c r="V25" s="43">
        <f t="shared" si="9"/>
        <v>-3376163.7373588895</v>
      </c>
      <c r="W25" s="43">
        <f t="shared" si="9"/>
        <v>-3400736.7429965399</v>
      </c>
      <c r="X25" s="43">
        <f t="shared" si="9"/>
        <v>-3426784.1289724475</v>
      </c>
      <c r="Y25" s="43">
        <f t="shared" si="9"/>
        <v>-3904394.3581069103</v>
      </c>
      <c r="Z25" s="43">
        <f t="shared" si="9"/>
        <v>-3483661.2009894396</v>
      </c>
      <c r="AA25" s="43">
        <f t="shared" si="9"/>
        <v>-3514684.0544449226</v>
      </c>
      <c r="AB25" s="43">
        <f t="shared" si="9"/>
        <v>-3547568.2791077327</v>
      </c>
      <c r="AC25" s="43">
        <f t="shared" si="9"/>
        <v>-3582425.5572503135</v>
      </c>
      <c r="AD25" s="43">
        <f t="shared" si="9"/>
        <v>-4069374.2720814468</v>
      </c>
      <c r="AE25" s="43">
        <f t="shared" si="9"/>
        <v>-3658539.9098024503</v>
      </c>
      <c r="AF25" s="43">
        <f t="shared" si="9"/>
        <v>-3700055.4857867132</v>
      </c>
      <c r="AG25" s="43">
        <f t="shared" si="9"/>
        <v>-3744061.9963300317</v>
      </c>
      <c r="AH25" s="43">
        <f t="shared" si="9"/>
        <v>-3790708.8975059493</v>
      </c>
      <c r="AI25" s="43">
        <f t="shared" si="9"/>
        <v>-4290154.6127524208</v>
      </c>
      <c r="AJ25" s="43">
        <f t="shared" si="9"/>
        <v>0</v>
      </c>
      <c r="AK25" s="43">
        <f t="shared" si="9"/>
        <v>0</v>
      </c>
      <c r="AL25" s="43">
        <f t="shared" si="9"/>
        <v>0</v>
      </c>
      <c r="AM25" s="43">
        <f t="shared" si="9"/>
        <v>0</v>
      </c>
      <c r="AN25" s="43">
        <f t="shared" si="9"/>
        <v>0</v>
      </c>
      <c r="AO25" s="43">
        <f t="shared" si="9"/>
        <v>0</v>
      </c>
      <c r="AP25" s="43">
        <f t="shared" si="9"/>
        <v>0</v>
      </c>
      <c r="AQ25" s="43">
        <f t="shared" si="9"/>
        <v>0</v>
      </c>
      <c r="AR25" s="43">
        <f t="shared" si="9"/>
        <v>0</v>
      </c>
      <c r="AS25" s="44">
        <f t="shared" si="9"/>
        <v>0</v>
      </c>
    </row>
    <row r="26" spans="1:45" ht="6.75" customHeight="1" x14ac:dyDescent="0.2">
      <c r="A26" s="15"/>
      <c r="B26" s="16"/>
      <c r="C26" s="16"/>
      <c r="D26" s="12"/>
      <c r="E26" s="17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06"/>
    </row>
    <row r="27" spans="1:45" x14ac:dyDescent="0.2">
      <c r="A27" s="36"/>
      <c r="B27" s="112" t="s">
        <v>35</v>
      </c>
      <c r="C27" s="34" t="s">
        <v>0</v>
      </c>
      <c r="D27" s="79">
        <f>NPV(Input_Output!$D$56,F25:AS25)</f>
        <v>-21552875.236382827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40"/>
    </row>
    <row r="28" spans="1:45" x14ac:dyDescent="0.2">
      <c r="A28" s="31"/>
      <c r="B28" s="136" t="s">
        <v>36</v>
      </c>
      <c r="C28" s="136" t="s">
        <v>43</v>
      </c>
      <c r="D28" s="80">
        <f>NPV(Input_Output!$D$56,F28:AS28)</f>
        <v>209488.38510395767</v>
      </c>
      <c r="E28" s="37"/>
      <c r="F28" s="37">
        <f t="shared" ref="F28:AS28" si="10">(1-tax)*F8*0.001</f>
        <v>31905.122570408585</v>
      </c>
      <c r="G28" s="37">
        <f t="shared" si="10"/>
        <v>31905.122570408585</v>
      </c>
      <c r="H28" s="37">
        <f t="shared" si="10"/>
        <v>31905.122570408585</v>
      </c>
      <c r="I28" s="37">
        <f t="shared" si="10"/>
        <v>31905.122570408585</v>
      </c>
      <c r="J28" s="37">
        <f t="shared" si="10"/>
        <v>31905.122570408585</v>
      </c>
      <c r="K28" s="37">
        <f t="shared" si="10"/>
        <v>31905.122570408585</v>
      </c>
      <c r="L28" s="37">
        <f t="shared" si="10"/>
        <v>31905.122570408585</v>
      </c>
      <c r="M28" s="37">
        <f t="shared" si="10"/>
        <v>31905.122570408585</v>
      </c>
      <c r="N28" s="37">
        <f t="shared" si="10"/>
        <v>31905.122570408585</v>
      </c>
      <c r="O28" s="37">
        <f t="shared" si="10"/>
        <v>31905.122570408585</v>
      </c>
      <c r="P28" s="37">
        <f t="shared" si="10"/>
        <v>31905.122570408585</v>
      </c>
      <c r="Q28" s="37">
        <f t="shared" si="10"/>
        <v>31905.122570408585</v>
      </c>
      <c r="R28" s="37">
        <f t="shared" si="10"/>
        <v>31905.122570408585</v>
      </c>
      <c r="S28" s="37">
        <f t="shared" si="10"/>
        <v>31905.122570408585</v>
      </c>
      <c r="T28" s="37">
        <f t="shared" si="10"/>
        <v>31905.122570408585</v>
      </c>
      <c r="U28" s="37">
        <f t="shared" si="10"/>
        <v>31905.122570408585</v>
      </c>
      <c r="V28" s="37">
        <f t="shared" si="10"/>
        <v>31905.122570408585</v>
      </c>
      <c r="W28" s="37">
        <f t="shared" si="10"/>
        <v>31905.122570408585</v>
      </c>
      <c r="X28" s="37">
        <f t="shared" si="10"/>
        <v>31905.122570408585</v>
      </c>
      <c r="Y28" s="37">
        <f t="shared" si="10"/>
        <v>31905.122570408585</v>
      </c>
      <c r="Z28" s="37">
        <f t="shared" si="10"/>
        <v>31905.122570408585</v>
      </c>
      <c r="AA28" s="37">
        <f t="shared" si="10"/>
        <v>31905.122570408585</v>
      </c>
      <c r="AB28" s="37">
        <f t="shared" si="10"/>
        <v>31905.122570408585</v>
      </c>
      <c r="AC28" s="37">
        <f t="shared" si="10"/>
        <v>31905.122570408585</v>
      </c>
      <c r="AD28" s="37">
        <f t="shared" si="10"/>
        <v>31905.122570408585</v>
      </c>
      <c r="AE28" s="37">
        <f t="shared" si="10"/>
        <v>31905.122570408585</v>
      </c>
      <c r="AF28" s="37">
        <f t="shared" si="10"/>
        <v>31905.122570408585</v>
      </c>
      <c r="AG28" s="37">
        <f t="shared" si="10"/>
        <v>31905.122570408585</v>
      </c>
      <c r="AH28" s="37">
        <f t="shared" si="10"/>
        <v>31905.122570408585</v>
      </c>
      <c r="AI28" s="37">
        <f t="shared" si="10"/>
        <v>31905.122570408585</v>
      </c>
      <c r="AJ28" s="37">
        <f t="shared" si="10"/>
        <v>0</v>
      </c>
      <c r="AK28" s="37">
        <f t="shared" si="10"/>
        <v>0</v>
      </c>
      <c r="AL28" s="37">
        <f t="shared" si="10"/>
        <v>0</v>
      </c>
      <c r="AM28" s="37">
        <f t="shared" si="10"/>
        <v>0</v>
      </c>
      <c r="AN28" s="37">
        <f t="shared" si="10"/>
        <v>0</v>
      </c>
      <c r="AO28" s="37">
        <f t="shared" si="10"/>
        <v>0</v>
      </c>
      <c r="AP28" s="37">
        <f t="shared" si="10"/>
        <v>0</v>
      </c>
      <c r="AQ28" s="37">
        <f t="shared" si="10"/>
        <v>0</v>
      </c>
      <c r="AR28" s="37">
        <f t="shared" si="10"/>
        <v>0</v>
      </c>
      <c r="AS28" s="37">
        <f t="shared" si="10"/>
        <v>0</v>
      </c>
    </row>
    <row r="30" spans="1:45" x14ac:dyDescent="0.2">
      <c r="B30" s="128" t="s">
        <v>37</v>
      </c>
      <c r="C30" s="26">
        <f>(capex_subsurface+capex_power+heat_capex)*1000000</f>
        <v>63727962.919476405</v>
      </c>
      <c r="D30" s="27" t="s">
        <v>1</v>
      </c>
      <c r="E30" s="13"/>
      <c r="AJ30" s="5"/>
      <c r="AK30" s="5"/>
      <c r="AL30" s="5"/>
      <c r="AM30" s="5"/>
      <c r="AN30" s="5"/>
      <c r="AO30" s="5"/>
      <c r="AP30" s="5"/>
      <c r="AQ30" s="5"/>
      <c r="AR30" s="5"/>
      <c r="AS30" s="5"/>
    </row>
    <row r="31" spans="1:45" x14ac:dyDescent="0.2">
      <c r="B31" s="137" t="s">
        <v>38</v>
      </c>
      <c r="C31" s="28">
        <f>(1-tax)*loan_rate*debt_share+equity_share*equity_return</f>
        <v>6.6000000000000003E-2</v>
      </c>
      <c r="D31" s="29"/>
      <c r="E31" s="3"/>
      <c r="G31" s="51"/>
    </row>
    <row r="32" spans="1:45" x14ac:dyDescent="0.2">
      <c r="B32" s="167" t="s">
        <v>77</v>
      </c>
      <c r="C32" s="168">
        <f>C30</f>
        <v>63727962.919476405</v>
      </c>
      <c r="D32" s="169" t="s">
        <v>1</v>
      </c>
      <c r="E32" s="6"/>
      <c r="G32" s="51"/>
    </row>
    <row r="33" spans="2:8" s="2" customFormat="1" x14ac:dyDescent="0.2">
      <c r="B33" s="167" t="s">
        <v>75</v>
      </c>
      <c r="C33" s="168">
        <f>IF(fiscal_stimulus="yes",IF(stimulus_perc*C32&gt;stimulus_max*1000000,stimulus_max*1000000,stimulus_perc*C32),0)</f>
        <v>0</v>
      </c>
      <c r="D33" s="169" t="s">
        <v>1</v>
      </c>
      <c r="E33"/>
      <c r="F33" s="115"/>
      <c r="G33"/>
      <c r="H33"/>
    </row>
    <row r="34" spans="2:8" s="2" customFormat="1" x14ac:dyDescent="0.2">
      <c r="B34" s="167" t="s">
        <v>76</v>
      </c>
      <c r="C34" s="168">
        <f>(C33*tax)/(1+CFpower!C31)</f>
        <v>0</v>
      </c>
      <c r="D34" s="169" t="s">
        <v>1</v>
      </c>
      <c r="E34"/>
      <c r="F34" s="116"/>
      <c r="G34" s="52"/>
      <c r="H34" s="9"/>
    </row>
    <row r="35" spans="2:8" s="2" customFormat="1" x14ac:dyDescent="0.2">
      <c r="B35" s="138" t="s">
        <v>39</v>
      </c>
      <c r="C35" s="14">
        <f>C30*debt_share-C34</f>
        <v>50982370.335581124</v>
      </c>
      <c r="D35" s="29" t="s">
        <v>1</v>
      </c>
      <c r="E35" s="3"/>
      <c r="F35" s="1"/>
      <c r="G35" s="1"/>
      <c r="H35" s="1"/>
    </row>
    <row r="36" spans="2:8" s="2" customFormat="1" x14ac:dyDescent="0.2">
      <c r="B36" s="139" t="s">
        <v>40</v>
      </c>
      <c r="C36" s="30">
        <f>equity_share*C30</f>
        <v>12745592.583895281</v>
      </c>
      <c r="D36" s="31" t="s">
        <v>1</v>
      </c>
      <c r="E36" s="3"/>
      <c r="F36" s="1"/>
      <c r="G36" s="1"/>
      <c r="H36" s="1"/>
    </row>
    <row r="37" spans="2:8" s="2" customFormat="1" x14ac:dyDescent="0.2">
      <c r="B37" s="3"/>
      <c r="C37" s="3"/>
      <c r="D37" s="3"/>
      <c r="E37" s="3"/>
      <c r="F37" s="1"/>
      <c r="G37" s="1"/>
      <c r="H37" s="1"/>
    </row>
    <row r="38" spans="2:8" s="2" customFormat="1" x14ac:dyDescent="0.2">
      <c r="B38" s="3"/>
      <c r="C38" s="54"/>
      <c r="D38" s="3"/>
      <c r="E38" s="3"/>
      <c r="F38" s="1"/>
      <c r="G38" s="1"/>
      <c r="H38" s="1"/>
    </row>
    <row r="39" spans="2:8" s="2" customFormat="1" x14ac:dyDescent="0.2">
      <c r="B39" s="3"/>
      <c r="C39" s="3"/>
      <c r="D39" s="3"/>
      <c r="E39" s="3"/>
      <c r="F39" s="1"/>
      <c r="G39" s="53"/>
      <c r="H39" s="1"/>
    </row>
    <row r="40" spans="2:8" s="2" customFormat="1" x14ac:dyDescent="0.2">
      <c r="B40" s="3"/>
      <c r="C40" s="3"/>
      <c r="D40" s="3"/>
      <c r="E40" s="3"/>
      <c r="F40" s="1"/>
      <c r="G40" s="1"/>
      <c r="H40" s="1"/>
    </row>
    <row r="41" spans="2:8" s="2" customFormat="1" x14ac:dyDescent="0.2">
      <c r="B41" s="3"/>
      <c r="C41" s="3"/>
      <c r="D41" s="3"/>
      <c r="E41" s="3"/>
      <c r="F41" s="1"/>
      <c r="G41" s="53"/>
      <c r="H41" s="1"/>
    </row>
    <row r="42" spans="2:8" s="2" customFormat="1" x14ac:dyDescent="0.2">
      <c r="B42" s="3"/>
      <c r="C42" s="3"/>
      <c r="D42" s="3"/>
      <c r="E42" s="3"/>
      <c r="F42" s="1"/>
      <c r="G42" s="1"/>
      <c r="H42" s="1"/>
    </row>
    <row r="43" spans="2:8" s="2" customFormat="1" x14ac:dyDescent="0.2">
      <c r="B43" s="3"/>
      <c r="C43" s="3"/>
      <c r="D43" s="3"/>
      <c r="E43" s="3"/>
      <c r="F43" s="1"/>
      <c r="G43" s="1"/>
      <c r="H43" s="1"/>
    </row>
    <row r="44" spans="2:8" s="2" customFormat="1" x14ac:dyDescent="0.2">
      <c r="B44" s="3"/>
      <c r="C44" s="3"/>
      <c r="D44" s="3"/>
      <c r="E44" s="3"/>
      <c r="F44" s="1"/>
      <c r="G44" s="1"/>
      <c r="H44" s="1"/>
    </row>
    <row r="45" spans="2:8" s="2" customFormat="1" x14ac:dyDescent="0.2">
      <c r="B45" s="3"/>
      <c r="C45" s="3"/>
      <c r="D45" s="3"/>
      <c r="E45" s="3"/>
      <c r="F45" s="1"/>
      <c r="G45" s="1"/>
      <c r="H45" s="1"/>
    </row>
    <row r="46" spans="2:8" s="2" customFormat="1" x14ac:dyDescent="0.2">
      <c r="B46" s="3"/>
      <c r="C46" s="3"/>
      <c r="D46" s="3"/>
      <c r="E46" s="3"/>
      <c r="F46" s="1"/>
      <c r="G46" s="1"/>
      <c r="H46" s="1"/>
    </row>
    <row r="47" spans="2:8" s="2" customFormat="1" x14ac:dyDescent="0.2">
      <c r="B47" s="3"/>
      <c r="C47" s="3"/>
      <c r="D47" s="3"/>
      <c r="E47" s="3"/>
      <c r="F47" s="1"/>
      <c r="G47" s="1"/>
      <c r="H47" s="1"/>
    </row>
    <row r="48" spans="2:8" s="2" customFormat="1" x14ac:dyDescent="0.2">
      <c r="B48" s="3"/>
      <c r="C48" s="3"/>
      <c r="D48" s="3"/>
      <c r="E48" s="3"/>
      <c r="F48" s="1"/>
      <c r="G48" s="1"/>
      <c r="H48" s="1"/>
    </row>
    <row r="49" spans="5:5" s="2" customFormat="1" x14ac:dyDescent="0.2">
      <c r="E49" s="3"/>
    </row>
  </sheetData>
  <phoneticPr fontId="0" type="noConversion"/>
  <pageMargins left="0.38" right="0.27" top="1" bottom="1" header="0.5" footer="0.5"/>
  <pageSetup paperSize="9" orientation="landscape" r:id="rId1"/>
  <headerFooter alignWithMargins="0">
    <oddFooter>&amp;L&amp;D&amp;RVersie 2003.1</oddFooter>
  </headerFooter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9"/>
  <sheetViews>
    <sheetView topLeftCell="A13" workbookViewId="0">
      <selection activeCell="F28" sqref="F28"/>
    </sheetView>
  </sheetViews>
  <sheetFormatPr defaultRowHeight="12.75" x14ac:dyDescent="0.2"/>
  <cols>
    <col min="1" max="1" width="3.42578125" style="2" customWidth="1"/>
    <col min="2" max="2" width="40.42578125" style="1" customWidth="1"/>
    <col min="3" max="3" width="29.28515625" style="1" customWidth="1"/>
    <col min="4" max="4" width="15.7109375" style="1" bestFit="1" customWidth="1"/>
    <col min="5" max="5" width="12.7109375" style="1" customWidth="1"/>
    <col min="6" max="12" width="15.140625" style="1" bestFit="1" customWidth="1"/>
    <col min="13" max="45" width="12.7109375" style="1" customWidth="1"/>
    <col min="46" max="256" width="11.42578125" style="2" customWidth="1"/>
    <col min="257" max="16384" width="9.140625" style="2"/>
  </cols>
  <sheetData>
    <row r="1" spans="1:45" s="63" customFormat="1" ht="18" x14ac:dyDescent="0.25">
      <c r="A1" s="63" t="str">
        <f>Colofon!C2</f>
        <v>Calculation of LCOE of renewable heat and electricity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</row>
    <row r="2" spans="1:45" s="66" customFormat="1" ht="24.75" customHeight="1" x14ac:dyDescent="0.35">
      <c r="A2" s="66" t="s">
        <v>210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</row>
    <row r="3" spans="1:45" x14ac:dyDescent="0.2">
      <c r="B3" s="3"/>
      <c r="C3" s="3"/>
      <c r="D3" s="3"/>
      <c r="E3" s="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45" x14ac:dyDescent="0.2">
      <c r="A4" s="21"/>
      <c r="B4" s="45" t="s">
        <v>41</v>
      </c>
      <c r="C4" s="46" t="s">
        <v>33</v>
      </c>
      <c r="D4" s="46"/>
      <c r="E4" s="38">
        <v>0</v>
      </c>
      <c r="F4" s="38">
        <v>1</v>
      </c>
      <c r="G4" s="38">
        <v>2</v>
      </c>
      <c r="H4" s="38">
        <v>3</v>
      </c>
      <c r="I4" s="38">
        <v>4</v>
      </c>
      <c r="J4" s="38">
        <v>5</v>
      </c>
      <c r="K4" s="38">
        <v>6</v>
      </c>
      <c r="L4" s="38">
        <v>7</v>
      </c>
      <c r="M4" s="38">
        <v>8</v>
      </c>
      <c r="N4" s="38">
        <v>9</v>
      </c>
      <c r="O4" s="38">
        <v>10</v>
      </c>
      <c r="P4" s="38">
        <v>11</v>
      </c>
      <c r="Q4" s="38">
        <v>12</v>
      </c>
      <c r="R4" s="38">
        <v>13</v>
      </c>
      <c r="S4" s="38">
        <v>14</v>
      </c>
      <c r="T4" s="38">
        <v>15</v>
      </c>
      <c r="U4" s="38">
        <v>16</v>
      </c>
      <c r="V4" s="38">
        <v>17</v>
      </c>
      <c r="W4" s="38">
        <v>18</v>
      </c>
      <c r="X4" s="38">
        <v>19</v>
      </c>
      <c r="Y4" s="38">
        <v>20</v>
      </c>
      <c r="Z4" s="38">
        <v>21</v>
      </c>
      <c r="AA4" s="38">
        <v>22</v>
      </c>
      <c r="AB4" s="38">
        <v>23</v>
      </c>
      <c r="AC4" s="38">
        <v>24</v>
      </c>
      <c r="AD4" s="38">
        <v>25</v>
      </c>
      <c r="AE4" s="38">
        <v>26</v>
      </c>
      <c r="AF4" s="38">
        <v>27</v>
      </c>
      <c r="AG4" s="38">
        <v>28</v>
      </c>
      <c r="AH4" s="38">
        <v>29</v>
      </c>
      <c r="AI4" s="38">
        <v>30</v>
      </c>
      <c r="AJ4" s="38">
        <v>31</v>
      </c>
      <c r="AK4" s="38">
        <v>32</v>
      </c>
      <c r="AL4" s="38">
        <v>33</v>
      </c>
      <c r="AM4" s="38">
        <v>34</v>
      </c>
      <c r="AN4" s="38">
        <v>35</v>
      </c>
      <c r="AO4" s="38">
        <v>36</v>
      </c>
      <c r="AP4" s="38">
        <v>37</v>
      </c>
      <c r="AQ4" s="38">
        <v>38</v>
      </c>
      <c r="AR4" s="38">
        <v>39</v>
      </c>
      <c r="AS4" s="39">
        <v>40</v>
      </c>
    </row>
    <row r="5" spans="1:45" x14ac:dyDescent="0.2">
      <c r="A5" s="32"/>
      <c r="B5" s="134" t="s">
        <v>34</v>
      </c>
      <c r="C5" s="29" t="s">
        <v>1</v>
      </c>
      <c r="D5" s="33"/>
      <c r="E5" s="48">
        <f>-C30</f>
        <v>-63727962.919476405</v>
      </c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9"/>
    </row>
    <row r="6" spans="1:45" x14ac:dyDescent="0.2">
      <c r="A6" s="34"/>
      <c r="B6" s="29"/>
      <c r="C6" s="47"/>
      <c r="D6" s="47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9"/>
    </row>
    <row r="7" spans="1:45" x14ac:dyDescent="0.2">
      <c r="A7" s="34"/>
      <c r="B7" s="112"/>
      <c r="C7" s="29"/>
      <c r="D7" s="3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40"/>
    </row>
    <row r="8" spans="1:45" x14ac:dyDescent="0.2">
      <c r="A8" s="34"/>
      <c r="B8" s="112" t="s">
        <v>124</v>
      </c>
      <c r="C8" s="113" t="s">
        <v>125</v>
      </c>
      <c r="D8" s="34"/>
      <c r="E8" s="14"/>
      <c r="F8" s="14">
        <f t="shared" ref="F8:AS8" si="0">IF(F4&gt;lifetime,0,heat_mwth*coheatloadhours*3.6)</f>
        <v>0</v>
      </c>
      <c r="G8" s="14">
        <f t="shared" si="0"/>
        <v>0</v>
      </c>
      <c r="H8" s="14">
        <f t="shared" si="0"/>
        <v>0</v>
      </c>
      <c r="I8" s="14">
        <f t="shared" si="0"/>
        <v>0</v>
      </c>
      <c r="J8" s="14">
        <f t="shared" si="0"/>
        <v>0</v>
      </c>
      <c r="K8" s="14">
        <f t="shared" si="0"/>
        <v>0</v>
      </c>
      <c r="L8" s="14">
        <f t="shared" si="0"/>
        <v>0</v>
      </c>
      <c r="M8" s="14">
        <f t="shared" si="0"/>
        <v>0</v>
      </c>
      <c r="N8" s="14">
        <f t="shared" si="0"/>
        <v>0</v>
      </c>
      <c r="O8" s="14">
        <f t="shared" si="0"/>
        <v>0</v>
      </c>
      <c r="P8" s="14">
        <f t="shared" si="0"/>
        <v>0</v>
      </c>
      <c r="Q8" s="14">
        <f t="shared" si="0"/>
        <v>0</v>
      </c>
      <c r="R8" s="14">
        <f t="shared" si="0"/>
        <v>0</v>
      </c>
      <c r="S8" s="14">
        <f t="shared" si="0"/>
        <v>0</v>
      </c>
      <c r="T8" s="14">
        <f t="shared" si="0"/>
        <v>0</v>
      </c>
      <c r="U8" s="14">
        <f t="shared" si="0"/>
        <v>0</v>
      </c>
      <c r="V8" s="14">
        <f t="shared" si="0"/>
        <v>0</v>
      </c>
      <c r="W8" s="14">
        <f t="shared" si="0"/>
        <v>0</v>
      </c>
      <c r="X8" s="14">
        <f t="shared" si="0"/>
        <v>0</v>
      </c>
      <c r="Y8" s="14">
        <f t="shared" si="0"/>
        <v>0</v>
      </c>
      <c r="Z8" s="14">
        <f t="shared" si="0"/>
        <v>0</v>
      </c>
      <c r="AA8" s="14">
        <f t="shared" si="0"/>
        <v>0</v>
      </c>
      <c r="AB8" s="14">
        <f t="shared" si="0"/>
        <v>0</v>
      </c>
      <c r="AC8" s="14">
        <f t="shared" si="0"/>
        <v>0</v>
      </c>
      <c r="AD8" s="14">
        <f t="shared" si="0"/>
        <v>0</v>
      </c>
      <c r="AE8" s="14">
        <f t="shared" si="0"/>
        <v>0</v>
      </c>
      <c r="AF8" s="14">
        <f t="shared" si="0"/>
        <v>0</v>
      </c>
      <c r="AG8" s="14">
        <f t="shared" si="0"/>
        <v>0</v>
      </c>
      <c r="AH8" s="14">
        <f t="shared" si="0"/>
        <v>0</v>
      </c>
      <c r="AI8" s="14">
        <f t="shared" si="0"/>
        <v>0</v>
      </c>
      <c r="AJ8" s="14">
        <f t="shared" si="0"/>
        <v>0</v>
      </c>
      <c r="AK8" s="14">
        <f t="shared" si="0"/>
        <v>0</v>
      </c>
      <c r="AL8" s="14">
        <f t="shared" si="0"/>
        <v>0</v>
      </c>
      <c r="AM8" s="14">
        <f t="shared" si="0"/>
        <v>0</v>
      </c>
      <c r="AN8" s="14">
        <f t="shared" si="0"/>
        <v>0</v>
      </c>
      <c r="AO8" s="14">
        <f t="shared" si="0"/>
        <v>0</v>
      </c>
      <c r="AP8" s="14">
        <f t="shared" si="0"/>
        <v>0</v>
      </c>
      <c r="AQ8" s="14">
        <f t="shared" si="0"/>
        <v>0</v>
      </c>
      <c r="AR8" s="14">
        <f t="shared" si="0"/>
        <v>0</v>
      </c>
      <c r="AS8" s="14">
        <f t="shared" si="0"/>
        <v>0</v>
      </c>
    </row>
    <row r="9" spans="1:45" s="121" customFormat="1" x14ac:dyDescent="0.2">
      <c r="A9" s="120"/>
      <c r="B9" s="184" t="s">
        <v>90</v>
      </c>
      <c r="C9" s="185" t="s">
        <v>1</v>
      </c>
      <c r="D9" s="186"/>
      <c r="E9" s="190"/>
      <c r="F9" s="191">
        <f t="shared" ref="F9:AS9" si="1">IF(F4&gt;lifetime,0,-(power_OMfixed*Power*1000+heat_mwth*(coheatloadhours*heat_OMvar+heat_OMfixed*1000)))</f>
        <v>-338874.74468472466</v>
      </c>
      <c r="G9" s="191">
        <f t="shared" si="1"/>
        <v>-338874.74468472466</v>
      </c>
      <c r="H9" s="191">
        <f t="shared" si="1"/>
        <v>-338874.74468472466</v>
      </c>
      <c r="I9" s="191">
        <f t="shared" si="1"/>
        <v>-338874.74468472466</v>
      </c>
      <c r="J9" s="191">
        <f t="shared" si="1"/>
        <v>-338874.74468472466</v>
      </c>
      <c r="K9" s="191">
        <f t="shared" si="1"/>
        <v>-338874.74468472466</v>
      </c>
      <c r="L9" s="191">
        <f t="shared" si="1"/>
        <v>-338874.74468472466</v>
      </c>
      <c r="M9" s="191">
        <f t="shared" si="1"/>
        <v>-338874.74468472466</v>
      </c>
      <c r="N9" s="191">
        <f t="shared" si="1"/>
        <v>-338874.74468472466</v>
      </c>
      <c r="O9" s="191">
        <f t="shared" si="1"/>
        <v>-338874.74468472466</v>
      </c>
      <c r="P9" s="191">
        <f t="shared" si="1"/>
        <v>-338874.74468472466</v>
      </c>
      <c r="Q9" s="191">
        <f t="shared" si="1"/>
        <v>-338874.74468472466</v>
      </c>
      <c r="R9" s="191">
        <f t="shared" si="1"/>
        <v>-338874.74468472466</v>
      </c>
      <c r="S9" s="191">
        <f t="shared" si="1"/>
        <v>-338874.74468472466</v>
      </c>
      <c r="T9" s="191">
        <f t="shared" si="1"/>
        <v>-338874.74468472466</v>
      </c>
      <c r="U9" s="191">
        <f t="shared" si="1"/>
        <v>-338874.74468472466</v>
      </c>
      <c r="V9" s="191">
        <f t="shared" si="1"/>
        <v>-338874.74468472466</v>
      </c>
      <c r="W9" s="191">
        <f t="shared" si="1"/>
        <v>-338874.74468472466</v>
      </c>
      <c r="X9" s="191">
        <f t="shared" si="1"/>
        <v>-338874.74468472466</v>
      </c>
      <c r="Y9" s="191">
        <f t="shared" si="1"/>
        <v>-338874.74468472466</v>
      </c>
      <c r="Z9" s="191">
        <f t="shared" si="1"/>
        <v>-338874.74468472466</v>
      </c>
      <c r="AA9" s="191">
        <f t="shared" si="1"/>
        <v>-338874.74468472466</v>
      </c>
      <c r="AB9" s="191">
        <f t="shared" si="1"/>
        <v>-338874.74468472466</v>
      </c>
      <c r="AC9" s="191">
        <f t="shared" si="1"/>
        <v>-338874.74468472466</v>
      </c>
      <c r="AD9" s="191">
        <f t="shared" si="1"/>
        <v>-338874.74468472466</v>
      </c>
      <c r="AE9" s="191">
        <f t="shared" si="1"/>
        <v>-338874.74468472466</v>
      </c>
      <c r="AF9" s="191">
        <f t="shared" si="1"/>
        <v>-338874.74468472466</v>
      </c>
      <c r="AG9" s="191">
        <f t="shared" si="1"/>
        <v>-338874.74468472466</v>
      </c>
      <c r="AH9" s="191">
        <f t="shared" si="1"/>
        <v>-338874.74468472466</v>
      </c>
      <c r="AI9" s="191">
        <f t="shared" si="1"/>
        <v>-338874.74468472466</v>
      </c>
      <c r="AJ9" s="191">
        <f t="shared" si="1"/>
        <v>0</v>
      </c>
      <c r="AK9" s="191">
        <f t="shared" si="1"/>
        <v>0</v>
      </c>
      <c r="AL9" s="191">
        <f t="shared" si="1"/>
        <v>0</v>
      </c>
      <c r="AM9" s="191">
        <f t="shared" si="1"/>
        <v>0</v>
      </c>
      <c r="AN9" s="191">
        <f t="shared" si="1"/>
        <v>0</v>
      </c>
      <c r="AO9" s="191">
        <f t="shared" si="1"/>
        <v>0</v>
      </c>
      <c r="AP9" s="191">
        <f t="shared" si="1"/>
        <v>0</v>
      </c>
      <c r="AQ9" s="191">
        <f t="shared" si="1"/>
        <v>0</v>
      </c>
      <c r="AR9" s="191">
        <f t="shared" si="1"/>
        <v>0</v>
      </c>
      <c r="AS9" s="191">
        <f t="shared" si="1"/>
        <v>0</v>
      </c>
    </row>
    <row r="10" spans="1:45" s="121" customFormat="1" x14ac:dyDescent="0.2">
      <c r="A10" s="120"/>
      <c r="B10" s="184" t="s">
        <v>91</v>
      </c>
      <c r="C10" s="187" t="s">
        <v>1</v>
      </c>
      <c r="D10" s="186"/>
      <c r="E10" s="190"/>
      <c r="F10" s="190"/>
      <c r="G10" s="190"/>
      <c r="H10" s="190"/>
      <c r="I10" s="190"/>
      <c r="J10" s="190">
        <f>-pumpcost2*1000000</f>
        <v>-600000</v>
      </c>
      <c r="K10" s="190"/>
      <c r="L10" s="190"/>
      <c r="M10" s="190"/>
      <c r="N10" s="190"/>
      <c r="O10" s="190">
        <f>-pumpcost2*1000000</f>
        <v>-600000</v>
      </c>
      <c r="P10" s="190"/>
      <c r="Q10" s="190"/>
      <c r="R10" s="190"/>
      <c r="S10" s="190"/>
      <c r="T10" s="190">
        <f>-pumpcost2*1000000</f>
        <v>-600000</v>
      </c>
      <c r="U10" s="190"/>
      <c r="V10" s="190"/>
      <c r="W10" s="190"/>
      <c r="X10" s="190"/>
      <c r="Y10" s="190">
        <f>-pumpcost2*pumps*1000000*0.5</f>
        <v>-600000</v>
      </c>
      <c r="Z10" s="190"/>
      <c r="AA10" s="190"/>
      <c r="AB10" s="190"/>
      <c r="AC10" s="190"/>
      <c r="AD10" s="190">
        <f>-pumpcost2*1000000</f>
        <v>-600000</v>
      </c>
      <c r="AE10" s="190"/>
      <c r="AF10" s="190"/>
      <c r="AG10" s="190"/>
      <c r="AH10" s="190"/>
      <c r="AI10" s="190">
        <f>-pumpcost2*1000000</f>
        <v>-600000</v>
      </c>
      <c r="AJ10" s="190"/>
      <c r="AK10" s="190"/>
      <c r="AL10" s="190"/>
      <c r="AM10" s="190"/>
      <c r="AN10" s="190">
        <f>-pumpcost2*1000000</f>
        <v>-600000</v>
      </c>
      <c r="AO10" s="190"/>
      <c r="AP10" s="190"/>
      <c r="AQ10" s="190"/>
      <c r="AR10" s="190"/>
      <c r="AS10" s="190">
        <f>-pumpcost2*1000000</f>
        <v>-600000</v>
      </c>
    </row>
    <row r="11" spans="1:45" x14ac:dyDescent="0.2">
      <c r="A11" s="34"/>
      <c r="B11" s="113" t="s">
        <v>109</v>
      </c>
      <c r="C11" s="113" t="s">
        <v>1</v>
      </c>
      <c r="D11" s="29"/>
      <c r="E11" s="14"/>
      <c r="F11" s="14">
        <f t="shared" ref="F11:AS11" si="2">coheat_feedin*F8+Power*power_loadhours*power_feedin*3.6</f>
        <v>0</v>
      </c>
      <c r="G11" s="14">
        <f t="shared" si="2"/>
        <v>0</v>
      </c>
      <c r="H11" s="14">
        <f t="shared" si="2"/>
        <v>0</v>
      </c>
      <c r="I11" s="14">
        <f t="shared" si="2"/>
        <v>0</v>
      </c>
      <c r="J11" s="14">
        <f t="shared" si="2"/>
        <v>0</v>
      </c>
      <c r="K11" s="14">
        <f t="shared" si="2"/>
        <v>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4">
        <f t="shared" si="2"/>
        <v>0</v>
      </c>
      <c r="Q11" s="14">
        <f t="shared" si="2"/>
        <v>0</v>
      </c>
      <c r="R11" s="14">
        <f t="shared" si="2"/>
        <v>0</v>
      </c>
      <c r="S11" s="14">
        <f t="shared" si="2"/>
        <v>0</v>
      </c>
      <c r="T11" s="14">
        <f t="shared" si="2"/>
        <v>0</v>
      </c>
      <c r="U11" s="14">
        <f t="shared" si="2"/>
        <v>0</v>
      </c>
      <c r="V11" s="14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14">
        <f t="shared" si="2"/>
        <v>0</v>
      </c>
      <c r="AB11" s="14">
        <f t="shared" si="2"/>
        <v>0</v>
      </c>
      <c r="AC11" s="14">
        <f t="shared" si="2"/>
        <v>0</v>
      </c>
      <c r="AD11" s="14">
        <f t="shared" si="2"/>
        <v>0</v>
      </c>
      <c r="AE11" s="14">
        <f t="shared" si="2"/>
        <v>0</v>
      </c>
      <c r="AF11" s="14">
        <f t="shared" si="2"/>
        <v>0</v>
      </c>
      <c r="AG11" s="14">
        <f t="shared" si="2"/>
        <v>0</v>
      </c>
      <c r="AH11" s="14">
        <f t="shared" si="2"/>
        <v>0</v>
      </c>
      <c r="AI11" s="14">
        <f t="shared" si="2"/>
        <v>0</v>
      </c>
      <c r="AJ11" s="14">
        <f t="shared" si="2"/>
        <v>0</v>
      </c>
      <c r="AK11" s="14">
        <f t="shared" si="2"/>
        <v>0</v>
      </c>
      <c r="AL11" s="14">
        <f t="shared" si="2"/>
        <v>0</v>
      </c>
      <c r="AM11" s="14">
        <f t="shared" si="2"/>
        <v>0</v>
      </c>
      <c r="AN11" s="14">
        <f t="shared" si="2"/>
        <v>0</v>
      </c>
      <c r="AO11" s="14">
        <f t="shared" si="2"/>
        <v>0</v>
      </c>
      <c r="AP11" s="14">
        <f t="shared" si="2"/>
        <v>0</v>
      </c>
      <c r="AQ11" s="14">
        <f t="shared" si="2"/>
        <v>0</v>
      </c>
      <c r="AR11" s="14">
        <f t="shared" si="2"/>
        <v>0</v>
      </c>
      <c r="AS11" s="14">
        <f t="shared" si="2"/>
        <v>0</v>
      </c>
    </row>
    <row r="12" spans="1:45" x14ac:dyDescent="0.2">
      <c r="A12" s="34"/>
      <c r="B12" s="29"/>
      <c r="C12" s="29"/>
      <c r="D12" s="29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40"/>
    </row>
    <row r="13" spans="1:45" x14ac:dyDescent="0.2">
      <c r="A13" s="34"/>
      <c r="B13" s="113" t="s">
        <v>92</v>
      </c>
      <c r="C13" s="29" t="s">
        <v>1</v>
      </c>
      <c r="D13" s="29"/>
      <c r="E13" s="14"/>
      <c r="F13" s="14">
        <f t="shared" ref="F13:AS13" si="3">IF(F4&gt;lifetime,0,POWER(1+inflation,F4-$F$4)*SUM(F11:F11))</f>
        <v>0</v>
      </c>
      <c r="G13" s="14">
        <f t="shared" si="3"/>
        <v>0</v>
      </c>
      <c r="H13" s="14">
        <f t="shared" si="3"/>
        <v>0</v>
      </c>
      <c r="I13" s="14">
        <f t="shared" si="3"/>
        <v>0</v>
      </c>
      <c r="J13" s="14">
        <f t="shared" si="3"/>
        <v>0</v>
      </c>
      <c r="K13" s="14">
        <f t="shared" si="3"/>
        <v>0</v>
      </c>
      <c r="L13" s="14">
        <f t="shared" si="3"/>
        <v>0</v>
      </c>
      <c r="M13" s="14">
        <f t="shared" si="3"/>
        <v>0</v>
      </c>
      <c r="N13" s="14">
        <f t="shared" si="3"/>
        <v>0</v>
      </c>
      <c r="O13" s="14">
        <f t="shared" si="3"/>
        <v>0</v>
      </c>
      <c r="P13" s="14">
        <f t="shared" si="3"/>
        <v>0</v>
      </c>
      <c r="Q13" s="14">
        <f t="shared" si="3"/>
        <v>0</v>
      </c>
      <c r="R13" s="14">
        <f t="shared" si="3"/>
        <v>0</v>
      </c>
      <c r="S13" s="14">
        <f t="shared" si="3"/>
        <v>0</v>
      </c>
      <c r="T13" s="14">
        <f t="shared" si="3"/>
        <v>0</v>
      </c>
      <c r="U13" s="14">
        <f t="shared" si="3"/>
        <v>0</v>
      </c>
      <c r="V13" s="14">
        <f t="shared" si="3"/>
        <v>0</v>
      </c>
      <c r="W13" s="14">
        <f t="shared" si="3"/>
        <v>0</v>
      </c>
      <c r="X13" s="14">
        <f t="shared" si="3"/>
        <v>0</v>
      </c>
      <c r="Y13" s="14">
        <f t="shared" si="3"/>
        <v>0</v>
      </c>
      <c r="Z13" s="14">
        <f t="shared" si="3"/>
        <v>0</v>
      </c>
      <c r="AA13" s="14">
        <f t="shared" si="3"/>
        <v>0</v>
      </c>
      <c r="AB13" s="14">
        <f t="shared" si="3"/>
        <v>0</v>
      </c>
      <c r="AC13" s="14">
        <f t="shared" si="3"/>
        <v>0</v>
      </c>
      <c r="AD13" s="14">
        <f t="shared" si="3"/>
        <v>0</v>
      </c>
      <c r="AE13" s="14">
        <f t="shared" si="3"/>
        <v>0</v>
      </c>
      <c r="AF13" s="14">
        <f t="shared" si="3"/>
        <v>0</v>
      </c>
      <c r="AG13" s="14">
        <f t="shared" si="3"/>
        <v>0</v>
      </c>
      <c r="AH13" s="14">
        <f t="shared" si="3"/>
        <v>0</v>
      </c>
      <c r="AI13" s="14">
        <f t="shared" si="3"/>
        <v>0</v>
      </c>
      <c r="AJ13" s="14">
        <f t="shared" si="3"/>
        <v>0</v>
      </c>
      <c r="AK13" s="14">
        <f t="shared" si="3"/>
        <v>0</v>
      </c>
      <c r="AL13" s="14">
        <f t="shared" si="3"/>
        <v>0</v>
      </c>
      <c r="AM13" s="14">
        <f t="shared" si="3"/>
        <v>0</v>
      </c>
      <c r="AN13" s="14">
        <f t="shared" si="3"/>
        <v>0</v>
      </c>
      <c r="AO13" s="14">
        <f t="shared" si="3"/>
        <v>0</v>
      </c>
      <c r="AP13" s="14">
        <f t="shared" si="3"/>
        <v>0</v>
      </c>
      <c r="AQ13" s="14">
        <f t="shared" si="3"/>
        <v>0</v>
      </c>
      <c r="AR13" s="14">
        <f t="shared" si="3"/>
        <v>0</v>
      </c>
      <c r="AS13" s="14">
        <f t="shared" si="3"/>
        <v>0</v>
      </c>
    </row>
    <row r="14" spans="1:45" x14ac:dyDescent="0.2">
      <c r="A14" s="35"/>
      <c r="B14" s="135" t="s">
        <v>93</v>
      </c>
      <c r="C14" s="31" t="s">
        <v>1</v>
      </c>
      <c r="D14" s="31"/>
      <c r="E14" s="30"/>
      <c r="F14" s="192">
        <f t="shared" ref="F14:AS14" si="4">IF(F4&gt;lifetime,0,POWER(1+inflation,F4-$F$4)*SUM(F9:F10))</f>
        <v>-338874.74468472466</v>
      </c>
      <c r="G14" s="30">
        <f t="shared" si="4"/>
        <v>-338874.74468472466</v>
      </c>
      <c r="H14" s="30">
        <f t="shared" si="4"/>
        <v>-338874.74468472466</v>
      </c>
      <c r="I14" s="30">
        <f t="shared" si="4"/>
        <v>-338874.74468472466</v>
      </c>
      <c r="J14" s="30">
        <f t="shared" si="4"/>
        <v>-938874.7446847246</v>
      </c>
      <c r="K14" s="30">
        <f t="shared" si="4"/>
        <v>-338874.74468472466</v>
      </c>
      <c r="L14" s="30">
        <f t="shared" si="4"/>
        <v>-338874.74468472466</v>
      </c>
      <c r="M14" s="30">
        <f t="shared" si="4"/>
        <v>-338874.74468472466</v>
      </c>
      <c r="N14" s="30">
        <f t="shared" si="4"/>
        <v>-338874.74468472466</v>
      </c>
      <c r="O14" s="30">
        <f t="shared" si="4"/>
        <v>-938874.7446847246</v>
      </c>
      <c r="P14" s="30">
        <f t="shared" si="4"/>
        <v>-338874.74468472466</v>
      </c>
      <c r="Q14" s="30">
        <f t="shared" si="4"/>
        <v>-338874.74468472466</v>
      </c>
      <c r="R14" s="30">
        <f t="shared" si="4"/>
        <v>-338874.74468472466</v>
      </c>
      <c r="S14" s="30">
        <f t="shared" si="4"/>
        <v>-338874.74468472466</v>
      </c>
      <c r="T14" s="30">
        <f t="shared" si="4"/>
        <v>-938874.7446847246</v>
      </c>
      <c r="U14" s="30">
        <f t="shared" si="4"/>
        <v>-338874.74468472466</v>
      </c>
      <c r="V14" s="30">
        <f t="shared" si="4"/>
        <v>-338874.74468472466</v>
      </c>
      <c r="W14" s="30">
        <f t="shared" si="4"/>
        <v>-338874.74468472466</v>
      </c>
      <c r="X14" s="30">
        <f t="shared" si="4"/>
        <v>-338874.74468472466</v>
      </c>
      <c r="Y14" s="30">
        <f t="shared" si="4"/>
        <v>-938874.7446847246</v>
      </c>
      <c r="Z14" s="30">
        <f t="shared" si="4"/>
        <v>-338874.74468472466</v>
      </c>
      <c r="AA14" s="30">
        <f t="shared" si="4"/>
        <v>-338874.74468472466</v>
      </c>
      <c r="AB14" s="30">
        <f t="shared" si="4"/>
        <v>-338874.74468472466</v>
      </c>
      <c r="AC14" s="30">
        <f t="shared" si="4"/>
        <v>-338874.74468472466</v>
      </c>
      <c r="AD14" s="30">
        <f t="shared" si="4"/>
        <v>-938874.7446847246</v>
      </c>
      <c r="AE14" s="30">
        <f t="shared" si="4"/>
        <v>-338874.74468472466</v>
      </c>
      <c r="AF14" s="30">
        <f t="shared" si="4"/>
        <v>-338874.74468472466</v>
      </c>
      <c r="AG14" s="30">
        <f t="shared" si="4"/>
        <v>-338874.74468472466</v>
      </c>
      <c r="AH14" s="30">
        <f t="shared" si="4"/>
        <v>-338874.74468472466</v>
      </c>
      <c r="AI14" s="30">
        <f t="shared" si="4"/>
        <v>-938874.7446847246</v>
      </c>
      <c r="AJ14" s="30">
        <f t="shared" si="4"/>
        <v>0</v>
      </c>
      <c r="AK14" s="30">
        <f t="shared" si="4"/>
        <v>0</v>
      </c>
      <c r="AL14" s="30">
        <f t="shared" si="4"/>
        <v>0</v>
      </c>
      <c r="AM14" s="30">
        <f t="shared" si="4"/>
        <v>0</v>
      </c>
      <c r="AN14" s="30">
        <f t="shared" si="4"/>
        <v>0</v>
      </c>
      <c r="AO14" s="30">
        <f t="shared" si="4"/>
        <v>0</v>
      </c>
      <c r="AP14" s="30">
        <f t="shared" si="4"/>
        <v>0</v>
      </c>
      <c r="AQ14" s="30">
        <f t="shared" si="4"/>
        <v>0</v>
      </c>
      <c r="AR14" s="30">
        <f t="shared" si="4"/>
        <v>0</v>
      </c>
      <c r="AS14" s="105">
        <f t="shared" si="4"/>
        <v>0</v>
      </c>
    </row>
    <row r="15" spans="1:45" x14ac:dyDescent="0.2">
      <c r="A15" s="41"/>
      <c r="B15" s="41" t="s">
        <v>94</v>
      </c>
      <c r="C15" s="42" t="s">
        <v>1</v>
      </c>
      <c r="D15" s="42"/>
      <c r="E15" s="43"/>
      <c r="F15" s="43">
        <f>SUM(F13:F14)</f>
        <v>-338874.74468472466</v>
      </c>
      <c r="G15" s="43">
        <f t="shared" ref="G15:AS15" si="5">SUM(G13:G14)</f>
        <v>-338874.74468472466</v>
      </c>
      <c r="H15" s="43">
        <f t="shared" si="5"/>
        <v>-338874.74468472466</v>
      </c>
      <c r="I15" s="43">
        <f t="shared" si="5"/>
        <v>-338874.74468472466</v>
      </c>
      <c r="J15" s="43">
        <f t="shared" si="5"/>
        <v>-938874.7446847246</v>
      </c>
      <c r="K15" s="43">
        <f t="shared" si="5"/>
        <v>-338874.74468472466</v>
      </c>
      <c r="L15" s="43">
        <f t="shared" si="5"/>
        <v>-338874.74468472466</v>
      </c>
      <c r="M15" s="43">
        <f t="shared" si="5"/>
        <v>-338874.74468472466</v>
      </c>
      <c r="N15" s="43">
        <f t="shared" si="5"/>
        <v>-338874.74468472466</v>
      </c>
      <c r="O15" s="43">
        <f t="shared" si="5"/>
        <v>-938874.7446847246</v>
      </c>
      <c r="P15" s="43">
        <f t="shared" si="5"/>
        <v>-338874.74468472466</v>
      </c>
      <c r="Q15" s="43">
        <f t="shared" si="5"/>
        <v>-338874.74468472466</v>
      </c>
      <c r="R15" s="43">
        <f t="shared" si="5"/>
        <v>-338874.74468472466</v>
      </c>
      <c r="S15" s="43">
        <f t="shared" si="5"/>
        <v>-338874.74468472466</v>
      </c>
      <c r="T15" s="43">
        <f t="shared" si="5"/>
        <v>-938874.7446847246</v>
      </c>
      <c r="U15" s="43">
        <f t="shared" si="5"/>
        <v>-338874.74468472466</v>
      </c>
      <c r="V15" s="43">
        <f t="shared" si="5"/>
        <v>-338874.74468472466</v>
      </c>
      <c r="W15" s="43">
        <f t="shared" si="5"/>
        <v>-338874.74468472466</v>
      </c>
      <c r="X15" s="43">
        <f t="shared" si="5"/>
        <v>-338874.74468472466</v>
      </c>
      <c r="Y15" s="43">
        <f t="shared" si="5"/>
        <v>-938874.7446847246</v>
      </c>
      <c r="Z15" s="43">
        <f t="shared" si="5"/>
        <v>-338874.74468472466</v>
      </c>
      <c r="AA15" s="43">
        <f t="shared" si="5"/>
        <v>-338874.74468472466</v>
      </c>
      <c r="AB15" s="43">
        <f t="shared" si="5"/>
        <v>-338874.74468472466</v>
      </c>
      <c r="AC15" s="43">
        <f t="shared" si="5"/>
        <v>-338874.74468472466</v>
      </c>
      <c r="AD15" s="43">
        <f t="shared" si="5"/>
        <v>-938874.7446847246</v>
      </c>
      <c r="AE15" s="43">
        <f t="shared" si="5"/>
        <v>-338874.74468472466</v>
      </c>
      <c r="AF15" s="43">
        <f t="shared" si="5"/>
        <v>-338874.74468472466</v>
      </c>
      <c r="AG15" s="43">
        <f t="shared" si="5"/>
        <v>-338874.74468472466</v>
      </c>
      <c r="AH15" s="43">
        <f t="shared" si="5"/>
        <v>-338874.74468472466</v>
      </c>
      <c r="AI15" s="43">
        <f t="shared" si="5"/>
        <v>-938874.7446847246</v>
      </c>
      <c r="AJ15" s="43">
        <f t="shared" si="5"/>
        <v>0</v>
      </c>
      <c r="AK15" s="43">
        <f t="shared" si="5"/>
        <v>0</v>
      </c>
      <c r="AL15" s="43">
        <f t="shared" si="5"/>
        <v>0</v>
      </c>
      <c r="AM15" s="43">
        <f t="shared" si="5"/>
        <v>0</v>
      </c>
      <c r="AN15" s="43">
        <f t="shared" si="5"/>
        <v>0</v>
      </c>
      <c r="AO15" s="43">
        <f t="shared" si="5"/>
        <v>0</v>
      </c>
      <c r="AP15" s="43">
        <f t="shared" si="5"/>
        <v>0</v>
      </c>
      <c r="AQ15" s="43">
        <f t="shared" si="5"/>
        <v>0</v>
      </c>
      <c r="AR15" s="43">
        <f t="shared" si="5"/>
        <v>0</v>
      </c>
      <c r="AS15" s="44">
        <f t="shared" si="5"/>
        <v>0</v>
      </c>
    </row>
    <row r="16" spans="1:45" s="8" customFormat="1" x14ac:dyDescent="0.2">
      <c r="A16" s="19"/>
      <c r="B16" s="34"/>
      <c r="C16" s="29"/>
      <c r="D16" s="29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40"/>
    </row>
    <row r="17" spans="1:45" x14ac:dyDescent="0.2">
      <c r="A17" s="34"/>
      <c r="B17" s="112" t="s">
        <v>95</v>
      </c>
      <c r="C17" s="29" t="s">
        <v>1</v>
      </c>
      <c r="D17" s="29"/>
      <c r="E17" s="14"/>
      <c r="F17" s="14">
        <f t="shared" ref="F17:AS17" si="6">IF(F4&gt;depreciation_time,0,-$C$30/depreciation_time)</f>
        <v>-2124265.4306492135</v>
      </c>
      <c r="G17" s="14">
        <f t="shared" si="6"/>
        <v>-2124265.4306492135</v>
      </c>
      <c r="H17" s="14">
        <f t="shared" si="6"/>
        <v>-2124265.4306492135</v>
      </c>
      <c r="I17" s="14">
        <f t="shared" si="6"/>
        <v>-2124265.4306492135</v>
      </c>
      <c r="J17" s="14">
        <f t="shared" si="6"/>
        <v>-2124265.4306492135</v>
      </c>
      <c r="K17" s="14">
        <f t="shared" si="6"/>
        <v>-2124265.4306492135</v>
      </c>
      <c r="L17" s="14">
        <f t="shared" si="6"/>
        <v>-2124265.4306492135</v>
      </c>
      <c r="M17" s="14">
        <f t="shared" si="6"/>
        <v>-2124265.4306492135</v>
      </c>
      <c r="N17" s="14">
        <f t="shared" si="6"/>
        <v>-2124265.4306492135</v>
      </c>
      <c r="O17" s="14">
        <f t="shared" si="6"/>
        <v>-2124265.4306492135</v>
      </c>
      <c r="P17" s="14">
        <f t="shared" si="6"/>
        <v>-2124265.4306492135</v>
      </c>
      <c r="Q17" s="14">
        <f t="shared" si="6"/>
        <v>-2124265.4306492135</v>
      </c>
      <c r="R17" s="14">
        <f t="shared" si="6"/>
        <v>-2124265.4306492135</v>
      </c>
      <c r="S17" s="14">
        <f t="shared" si="6"/>
        <v>-2124265.4306492135</v>
      </c>
      <c r="T17" s="14">
        <f t="shared" si="6"/>
        <v>-2124265.4306492135</v>
      </c>
      <c r="U17" s="14">
        <f t="shared" si="6"/>
        <v>-2124265.4306492135</v>
      </c>
      <c r="V17" s="14">
        <f t="shared" si="6"/>
        <v>-2124265.4306492135</v>
      </c>
      <c r="W17" s="14">
        <f t="shared" si="6"/>
        <v>-2124265.4306492135</v>
      </c>
      <c r="X17" s="14">
        <f t="shared" si="6"/>
        <v>-2124265.4306492135</v>
      </c>
      <c r="Y17" s="14">
        <f t="shared" si="6"/>
        <v>-2124265.4306492135</v>
      </c>
      <c r="Z17" s="14">
        <f t="shared" si="6"/>
        <v>-2124265.4306492135</v>
      </c>
      <c r="AA17" s="14">
        <f t="shared" si="6"/>
        <v>-2124265.4306492135</v>
      </c>
      <c r="AB17" s="14">
        <f t="shared" si="6"/>
        <v>-2124265.4306492135</v>
      </c>
      <c r="AC17" s="14">
        <f t="shared" si="6"/>
        <v>-2124265.4306492135</v>
      </c>
      <c r="AD17" s="14">
        <f t="shared" si="6"/>
        <v>-2124265.4306492135</v>
      </c>
      <c r="AE17" s="14">
        <f t="shared" si="6"/>
        <v>-2124265.4306492135</v>
      </c>
      <c r="AF17" s="14">
        <f t="shared" si="6"/>
        <v>-2124265.4306492135</v>
      </c>
      <c r="AG17" s="14">
        <f t="shared" si="6"/>
        <v>-2124265.4306492135</v>
      </c>
      <c r="AH17" s="14">
        <f t="shared" si="6"/>
        <v>-2124265.4306492135</v>
      </c>
      <c r="AI17" s="14">
        <f t="shared" si="6"/>
        <v>-2124265.4306492135</v>
      </c>
      <c r="AJ17" s="14">
        <f t="shared" si="6"/>
        <v>0</v>
      </c>
      <c r="AK17" s="14">
        <f t="shared" si="6"/>
        <v>0</v>
      </c>
      <c r="AL17" s="14">
        <f t="shared" si="6"/>
        <v>0</v>
      </c>
      <c r="AM17" s="14">
        <f t="shared" si="6"/>
        <v>0</v>
      </c>
      <c r="AN17" s="14">
        <f t="shared" si="6"/>
        <v>0</v>
      </c>
      <c r="AO17" s="14">
        <f t="shared" si="6"/>
        <v>0</v>
      </c>
      <c r="AP17" s="14">
        <f t="shared" si="6"/>
        <v>0</v>
      </c>
      <c r="AQ17" s="14">
        <f t="shared" si="6"/>
        <v>0</v>
      </c>
      <c r="AR17" s="14">
        <f t="shared" si="6"/>
        <v>0</v>
      </c>
      <c r="AS17" s="14">
        <f t="shared" si="6"/>
        <v>0</v>
      </c>
    </row>
    <row r="18" spans="1:45" x14ac:dyDescent="0.2">
      <c r="A18" s="34"/>
      <c r="B18" s="112" t="s">
        <v>96</v>
      </c>
      <c r="C18" s="34" t="s">
        <v>1</v>
      </c>
      <c r="D18" s="34"/>
      <c r="E18" s="14"/>
      <c r="F18" s="14">
        <f>IF(F4&gt;term_loan,0,IPMT(Input_Output!$D$55,F4,term_loan,CFpower!$C$35))</f>
        <v>-3058942.2201348674</v>
      </c>
      <c r="G18" s="14">
        <f>IF(G4&gt;term_loan,0,IPMT(Input_Output!$D$55,G4,term_loan,CFpower!$C$35))</f>
        <v>-3020249.9307392128</v>
      </c>
      <c r="H18" s="14">
        <f>IF(H4&gt;term_loan,0,IPMT(Input_Output!$D$55,H4,term_loan,CFpower!$C$35))</f>
        <v>-2979236.1039798185</v>
      </c>
      <c r="I18" s="14">
        <f>IF(I4&gt;term_loan,0,IPMT(Input_Output!$D$55,I4,term_loan,CFpower!$C$35))</f>
        <v>-2935761.4476148612</v>
      </c>
      <c r="J18" s="14">
        <f>IF(J4&gt;term_loan,0,IPMT(Input_Output!$D$55,J4,term_loan,CFpower!$C$35))</f>
        <v>-2889678.3118680068</v>
      </c>
      <c r="K18" s="14">
        <f>IF(K4&gt;term_loan,0,IPMT(Input_Output!$D$55,K4,term_loan,CFpower!$C$35))</f>
        <v>-2840830.1879763403</v>
      </c>
      <c r="L18" s="14">
        <f>IF(L4&gt;term_loan,0,IPMT(Input_Output!$D$55,L4,term_loan,CFpower!$C$35))</f>
        <v>-2789051.1766511747</v>
      </c>
      <c r="M18" s="14">
        <f>IF(M4&gt;term_loan,0,IPMT(Input_Output!$D$55,M4,term_loan,CFpower!$C$35))</f>
        <v>-2734165.4246464986</v>
      </c>
      <c r="N18" s="14">
        <f>IF(N4&gt;term_loan,0,IPMT(Input_Output!$D$55,N4,term_loan,CFpower!$C$35))</f>
        <v>-2675986.5275215418</v>
      </c>
      <c r="O18" s="14">
        <f>IF(O4&gt;term_loan,0,IPMT(Input_Output!$D$55,O4,term_loan,CFpower!$C$35))</f>
        <v>-2614316.8965690876</v>
      </c>
      <c r="P18" s="14">
        <f>IF(P4&gt;term_loan,0,IPMT(Input_Output!$D$55,P4,term_loan,CFpower!$C$35))</f>
        <v>-2548947.0877594864</v>
      </c>
      <c r="Q18" s="14">
        <f>IF(Q4&gt;term_loan,0,IPMT(Input_Output!$D$55,Q4,term_loan,CFpower!$C$35))</f>
        <v>-2479655.0904213088</v>
      </c>
      <c r="R18" s="14">
        <f>IF(R4&gt;term_loan,0,IPMT(Input_Output!$D$55,R4,term_loan,CFpower!$C$35))</f>
        <v>-2406205.5732428413</v>
      </c>
      <c r="S18" s="14">
        <f>IF(S4&gt;term_loan,0,IPMT(Input_Output!$D$55,S4,term_loan,CFpower!$C$35))</f>
        <v>-2328349.0850336659</v>
      </c>
      <c r="T18" s="14">
        <f>IF(T4&gt;term_loan,0,IPMT(Input_Output!$D$55,T4,term_loan,CFpower!$C$35))</f>
        <v>-2245821.2075319383</v>
      </c>
      <c r="U18" s="14">
        <f>IF(U4&gt;term_loan,0,IPMT(Input_Output!$D$55,U4,term_loan,CFpower!$C$35))</f>
        <v>-2158341.6573801083</v>
      </c>
      <c r="V18" s="14">
        <f>IF(V4&gt;term_loan,0,IPMT(Input_Output!$D$55,V4,term_loan,CFpower!$C$35))</f>
        <v>-2065613.3342191679</v>
      </c>
      <c r="W18" s="14">
        <f>IF(W4&gt;term_loan,0,IPMT(Input_Output!$D$55,W4,term_loan,CFpower!$C$35))</f>
        <v>-1967321.311668572</v>
      </c>
      <c r="X18" s="14">
        <f>IF(X4&gt;term_loan,0,IPMT(Input_Output!$D$55,X4,term_loan,CFpower!$C$35))</f>
        <v>-1863131.7677649397</v>
      </c>
      <c r="Y18" s="14">
        <f>IF(Y4&gt;term_loan,0,IPMT(Input_Output!$D$55,Y4,term_loan,CFpower!$C$35))</f>
        <v>-1752690.8512270895</v>
      </c>
      <c r="Z18" s="14">
        <f>IF(Z4&gt;term_loan,0,IPMT(Input_Output!$D$55,Z4,term_loan,CFpower!$C$35))</f>
        <v>-1635623.4796969683</v>
      </c>
      <c r="AA18" s="14">
        <f>IF(AA4&gt;term_loan,0,IPMT(Input_Output!$D$55,AA4,term_loan,CFpower!$C$35))</f>
        <v>-1511532.0658750401</v>
      </c>
      <c r="AB18" s="14">
        <f>IF(AB4&gt;term_loan,0,IPMT(Input_Output!$D$55,AB4,term_loan,CFpower!$C$35))</f>
        <v>-1379995.1672237958</v>
      </c>
      <c r="AC18" s="14">
        <f>IF(AC4&gt;term_loan,0,IPMT(Input_Output!$D$55,AC4,term_loan,CFpower!$C$35))</f>
        <v>-1240566.0546534772</v>
      </c>
      <c r="AD18" s="14">
        <f>IF(AD4&gt;term_loan,0,IPMT(Input_Output!$D$55,AD4,term_loan,CFpower!$C$35))</f>
        <v>-1092771.1953289392</v>
      </c>
      <c r="AE18" s="14">
        <f>IF(AE4&gt;term_loan,0,IPMT(Input_Output!$D$55,AE4,term_loan,CFpower!$C$35))</f>
        <v>-936108.6444449292</v>
      </c>
      <c r="AF18" s="14">
        <f>IF(AF4&gt;term_loan,0,IPMT(Input_Output!$D$55,AF4,term_loan,CFpower!$C$35))</f>
        <v>-770046.34050787846</v>
      </c>
      <c r="AG18" s="14">
        <f>IF(AG4&gt;term_loan,0,IPMT(Input_Output!$D$55,AG4,term_loan,CFpower!$C$35))</f>
        <v>-594020.29833460448</v>
      </c>
      <c r="AH18" s="14">
        <f>IF(AH4&gt;term_loan,0,IPMT(Input_Output!$D$55,AH4,term_loan,CFpower!$C$35))</f>
        <v>-407432.69363093429</v>
      </c>
      <c r="AI18" s="14">
        <f>IF(AI4&gt;term_loan,0,IPMT(Input_Output!$D$55,AI4,term_loan,CFpower!$C$35))</f>
        <v>-209649.83264504388</v>
      </c>
      <c r="AJ18" s="14">
        <f>IF(AJ4&gt;term_loan,0,IPMT(Input_Output!$D$55,AJ4,term_loan,CFpower!$C$35))</f>
        <v>0</v>
      </c>
      <c r="AK18" s="14">
        <f>IF(AK4&gt;term_loan,0,IPMT(Input_Output!$D$55,AK4,term_loan,CFpower!$C$35))</f>
        <v>0</v>
      </c>
      <c r="AL18" s="14">
        <f>IF(AL4&gt;term_loan,0,IPMT(Input_Output!$D$55,AL4,term_loan,CFpower!$C$35))</f>
        <v>0</v>
      </c>
      <c r="AM18" s="14">
        <f>IF(AM4&gt;term_loan,0,IPMT(Input_Output!$D$55,AM4,term_loan,CFpower!$C$35))</f>
        <v>0</v>
      </c>
      <c r="AN18" s="14">
        <f>IF(AN4&gt;term_loan,0,IPMT(Input_Output!$D$55,AN4,term_loan,CFpower!$C$35))</f>
        <v>0</v>
      </c>
      <c r="AO18" s="14">
        <f>IF(AO4&gt;term_loan,0,IPMT(Input_Output!$D$55,AO4,term_loan,CFpower!$C$35))</f>
        <v>0</v>
      </c>
      <c r="AP18" s="14">
        <f>IF(AP4&gt;term_loan,0,IPMT(Input_Output!$D$55,AP4,term_loan,CFpower!$C$35))</f>
        <v>0</v>
      </c>
      <c r="AQ18" s="14">
        <f>IF(AQ4&gt;term_loan,0,IPMT(Input_Output!$D$55,AQ4,term_loan,CFpower!$C$35))</f>
        <v>0</v>
      </c>
      <c r="AR18" s="14">
        <f>IF(AR4&gt;term_loan,0,IPMT(Input_Output!$D$55,AR4,term_loan,CFpower!$C$35))</f>
        <v>0</v>
      </c>
      <c r="AS18" s="40">
        <f>IF(AS4&gt;term_loan,0,IPMT(Input_Output!$D$55,AS4,term_loan,CFpower!$C$35))</f>
        <v>0</v>
      </c>
    </row>
    <row r="19" spans="1:45" x14ac:dyDescent="0.2">
      <c r="A19" s="34"/>
      <c r="B19" s="112" t="s">
        <v>97</v>
      </c>
      <c r="C19" s="34" t="s">
        <v>1</v>
      </c>
      <c r="D19" s="34"/>
      <c r="E19" s="14"/>
      <c r="F19" s="14">
        <f>IF(F4&gt;term_loan,0,PPMT(Input_Output!$D$55,F4,term_loan,$C$35))</f>
        <v>-644871.48992757499</v>
      </c>
      <c r="G19" s="14">
        <f>IF(G4&gt;term_loan,0,PPMT(Input_Output!$D$55,G4,term_loan,$C$35))</f>
        <v>-683563.77932322957</v>
      </c>
      <c r="H19" s="14">
        <f>IF(H4&gt;term_loan,0,PPMT(Input_Output!$D$55,H4,term_loan,$C$35))</f>
        <v>-724577.60608262336</v>
      </c>
      <c r="I19" s="14">
        <f>IF(I4&gt;term_loan,0,PPMT(Input_Output!$D$55,I4,term_loan,$C$35))</f>
        <v>-768052.2624475807</v>
      </c>
      <c r="J19" s="14">
        <f>IF(J4&gt;term_loan,0,PPMT(Input_Output!$D$55,J4,term_loan,$C$35))</f>
        <v>-814135.39819443552</v>
      </c>
      <c r="K19" s="14">
        <f>IF(K4&gt;term_loan,0,PPMT(Input_Output!$D$55,K4,term_loan,$C$35))</f>
        <v>-862983.52208610158</v>
      </c>
      <c r="L19" s="14">
        <f>IF(L4&gt;term_loan,0,PPMT(Input_Output!$D$55,L4,term_loan,$C$35))</f>
        <v>-914762.53341126791</v>
      </c>
      <c r="M19" s="14">
        <f>IF(M4&gt;term_loan,0,PPMT(Input_Output!$D$55,M4,term_loan,$C$35))</f>
        <v>-969648.28541594371</v>
      </c>
      <c r="N19" s="14">
        <f>IF(N4&gt;term_loan,0,PPMT(Input_Output!$D$55,N4,term_loan,$C$35))</f>
        <v>-1027827.1825409002</v>
      </c>
      <c r="O19" s="14">
        <f>IF(O4&gt;term_loan,0,PPMT(Input_Output!$D$55,O4,term_loan,$C$35))</f>
        <v>-1089496.8134933542</v>
      </c>
      <c r="P19" s="14">
        <f>IF(P4&gt;term_loan,0,PPMT(Input_Output!$D$55,P4,term_loan,$C$35))</f>
        <v>-1154866.6223029555</v>
      </c>
      <c r="Q19" s="14">
        <f>IF(Q4&gt;term_loan,0,PPMT(Input_Output!$D$55,Q4,term_loan,$C$35))</f>
        <v>-1224158.6196411329</v>
      </c>
      <c r="R19" s="14">
        <f>IF(R4&gt;term_loan,0,PPMT(Input_Output!$D$55,R4,term_loan,$C$35))</f>
        <v>-1297608.1368196008</v>
      </c>
      <c r="S19" s="14">
        <f>IF(S4&gt;term_loan,0,PPMT(Input_Output!$D$55,S4,term_loan,$C$35))</f>
        <v>-1375464.6250287769</v>
      </c>
      <c r="T19" s="14">
        <f>IF(T4&gt;term_loan,0,PPMT(Input_Output!$D$55,T4,term_loan,$C$35))</f>
        <v>-1457992.5025305036</v>
      </c>
      <c r="U19" s="14">
        <f>IF(U4&gt;term_loan,0,PPMT(Input_Output!$D$55,U4,term_loan,$C$35))</f>
        <v>-1545472.0526823339</v>
      </c>
      <c r="V19" s="14">
        <f>IF(V4&gt;term_loan,0,PPMT(Input_Output!$D$55,V4,term_loan,$C$35))</f>
        <v>-1638200.3758432739</v>
      </c>
      <c r="W19" s="14">
        <f>IF(W4&gt;term_loan,0,PPMT(Input_Output!$D$55,W4,term_loan,$C$35))</f>
        <v>-1736492.3983938703</v>
      </c>
      <c r="X19" s="14">
        <f>IF(X4&gt;term_loan,0,PPMT(Input_Output!$D$55,X4,term_loan,$C$35))</f>
        <v>-1840681.9422975027</v>
      </c>
      <c r="Y19" s="14">
        <f>IF(Y4&gt;term_loan,0,PPMT(Input_Output!$D$55,Y4,term_loan,$C$35))</f>
        <v>-1951122.8588353528</v>
      </c>
      <c r="Z19" s="14">
        <f>IF(Z4&gt;term_loan,0,PPMT(Input_Output!$D$55,Z4,term_loan,$C$35))</f>
        <v>-2068190.2303654735</v>
      </c>
      <c r="AA19" s="14">
        <f>IF(AA4&gt;term_loan,0,PPMT(Input_Output!$D$55,AA4,term_loan,$C$35))</f>
        <v>-2192281.644187402</v>
      </c>
      <c r="AB19" s="14">
        <f>IF(AB4&gt;term_loan,0,PPMT(Input_Output!$D$55,AB4,term_loan,$C$35))</f>
        <v>-2323818.5428386461</v>
      </c>
      <c r="AC19" s="14">
        <f>IF(AC4&gt;term_loan,0,PPMT(Input_Output!$D$55,AC4,term_loan,$C$35))</f>
        <v>-2463247.655408965</v>
      </c>
      <c r="AD19" s="14">
        <f>IF(AD4&gt;term_loan,0,PPMT(Input_Output!$D$55,AD4,term_loan,$C$35))</f>
        <v>-2611042.5147335026</v>
      </c>
      <c r="AE19" s="14">
        <f>IF(AE4&gt;term_loan,0,PPMT(Input_Output!$D$55,AE4,term_loan,$C$35))</f>
        <v>-2767705.0656175134</v>
      </c>
      <c r="AF19" s="14">
        <f>IF(AF4&gt;term_loan,0,PPMT(Input_Output!$D$55,AF4,term_loan,$C$35))</f>
        <v>-2933767.3695545639</v>
      </c>
      <c r="AG19" s="14">
        <f>IF(AG4&gt;term_loan,0,PPMT(Input_Output!$D$55,AG4,term_loan,$C$35))</f>
        <v>-3109793.4117278378</v>
      </c>
      <c r="AH19" s="14">
        <f>IF(AH4&gt;term_loan,0,PPMT(Input_Output!$D$55,AH4,term_loan,$C$35))</f>
        <v>-3296381.0164315081</v>
      </c>
      <c r="AI19" s="14">
        <f>IF(AI4&gt;term_loan,0,PPMT(Input_Output!$D$55,AI4,term_loan,$C$35))</f>
        <v>-3494163.8774173982</v>
      </c>
      <c r="AJ19" s="14">
        <f>IF(AJ4&gt;term_loan,0,PPMT(Input_Output!$D$55,AJ4,term_loan,$C$35))</f>
        <v>0</v>
      </c>
      <c r="AK19" s="14">
        <f>IF(AK4&gt;term_loan,0,PPMT(Input_Output!$D$55,AK4,term_loan,$C$35))</f>
        <v>0</v>
      </c>
      <c r="AL19" s="14">
        <f>IF(AL4&gt;term_loan,0,PPMT(Input_Output!$D$55,AL4,term_loan,$C$35))</f>
        <v>0</v>
      </c>
      <c r="AM19" s="14">
        <f>IF(AM4&gt;term_loan,0,PPMT(Input_Output!$D$55,AM4,term_loan,$C$35))</f>
        <v>0</v>
      </c>
      <c r="AN19" s="14">
        <f>IF(AN4&gt;term_loan,0,PPMT(Input_Output!$D$55,AN4,term_loan,$C$35))</f>
        <v>0</v>
      </c>
      <c r="AO19" s="14">
        <f>IF(AO4&gt;term_loan,0,PPMT(Input_Output!$D$55,AO4,term_loan,$C$35))</f>
        <v>0</v>
      </c>
      <c r="AP19" s="14">
        <f>IF(AP4&gt;term_loan,0,PPMT(Input_Output!$D$55,AP4,term_loan,$C$35))</f>
        <v>0</v>
      </c>
      <c r="AQ19" s="14">
        <f>IF(AQ4&gt;term_loan,0,PPMT(Input_Output!$D$55,AQ4,term_loan,$C$35))</f>
        <v>0</v>
      </c>
      <c r="AR19" s="14">
        <f>IF(AR4&gt;term_loan,0,PPMT(Input_Output!$D$55,AR4,term_loan,$C$35))</f>
        <v>0</v>
      </c>
      <c r="AS19" s="14">
        <f>IF(AS4&gt;term_loan,0,PPMT(Input_Output!$D$55,AS4,term_loan,$C$35))</f>
        <v>0</v>
      </c>
    </row>
    <row r="20" spans="1:45" s="4" customFormat="1" x14ac:dyDescent="0.2">
      <c r="A20" s="34"/>
      <c r="B20" s="112" t="s">
        <v>98</v>
      </c>
      <c r="C20" s="34" t="s">
        <v>1</v>
      </c>
      <c r="D20" s="34"/>
      <c r="E20" s="14"/>
      <c r="F20" s="14">
        <f>SUM(F18,F19)</f>
        <v>-3703813.7100624423</v>
      </c>
      <c r="G20" s="14">
        <f t="shared" ref="G20:AS20" si="7">SUM(G18,G19)</f>
        <v>-3703813.7100624423</v>
      </c>
      <c r="H20" s="14">
        <f t="shared" si="7"/>
        <v>-3703813.7100624419</v>
      </c>
      <c r="I20" s="14">
        <f t="shared" si="7"/>
        <v>-3703813.7100624419</v>
      </c>
      <c r="J20" s="14">
        <f t="shared" si="7"/>
        <v>-3703813.7100624423</v>
      </c>
      <c r="K20" s="14">
        <f t="shared" si="7"/>
        <v>-3703813.7100624419</v>
      </c>
      <c r="L20" s="14">
        <f t="shared" si="7"/>
        <v>-3703813.7100624423</v>
      </c>
      <c r="M20" s="14">
        <f t="shared" si="7"/>
        <v>-3703813.7100624423</v>
      </c>
      <c r="N20" s="14">
        <f t="shared" si="7"/>
        <v>-3703813.7100624419</v>
      </c>
      <c r="O20" s="14">
        <f t="shared" si="7"/>
        <v>-3703813.7100624419</v>
      </c>
      <c r="P20" s="14">
        <f t="shared" si="7"/>
        <v>-3703813.7100624419</v>
      </c>
      <c r="Q20" s="14">
        <f t="shared" si="7"/>
        <v>-3703813.7100624414</v>
      </c>
      <c r="R20" s="14">
        <f t="shared" si="7"/>
        <v>-3703813.7100624423</v>
      </c>
      <c r="S20" s="14">
        <f t="shared" si="7"/>
        <v>-3703813.7100624428</v>
      </c>
      <c r="T20" s="14">
        <f t="shared" si="7"/>
        <v>-3703813.7100624419</v>
      </c>
      <c r="U20" s="14">
        <f t="shared" si="7"/>
        <v>-3703813.7100624423</v>
      </c>
      <c r="V20" s="14">
        <f t="shared" si="7"/>
        <v>-3703813.7100624419</v>
      </c>
      <c r="W20" s="14">
        <f t="shared" si="7"/>
        <v>-3703813.7100624423</v>
      </c>
      <c r="X20" s="14">
        <f t="shared" si="7"/>
        <v>-3703813.7100624423</v>
      </c>
      <c r="Y20" s="14">
        <f t="shared" si="7"/>
        <v>-3703813.7100624423</v>
      </c>
      <c r="Z20" s="14">
        <f t="shared" si="7"/>
        <v>-3703813.7100624419</v>
      </c>
      <c r="AA20" s="14">
        <f t="shared" si="7"/>
        <v>-3703813.7100624423</v>
      </c>
      <c r="AB20" s="14">
        <f t="shared" si="7"/>
        <v>-3703813.7100624419</v>
      </c>
      <c r="AC20" s="14">
        <f t="shared" si="7"/>
        <v>-3703813.7100624423</v>
      </c>
      <c r="AD20" s="14">
        <f t="shared" si="7"/>
        <v>-3703813.7100624419</v>
      </c>
      <c r="AE20" s="14">
        <f t="shared" si="7"/>
        <v>-3703813.7100624423</v>
      </c>
      <c r="AF20" s="14">
        <f t="shared" si="7"/>
        <v>-3703813.7100624423</v>
      </c>
      <c r="AG20" s="14">
        <f t="shared" si="7"/>
        <v>-3703813.7100624423</v>
      </c>
      <c r="AH20" s="14">
        <f t="shared" si="7"/>
        <v>-3703813.7100624423</v>
      </c>
      <c r="AI20" s="14">
        <f t="shared" si="7"/>
        <v>-3703813.7100624419</v>
      </c>
      <c r="AJ20" s="14">
        <f t="shared" si="7"/>
        <v>0</v>
      </c>
      <c r="AK20" s="14">
        <f t="shared" si="7"/>
        <v>0</v>
      </c>
      <c r="AL20" s="14">
        <f t="shared" si="7"/>
        <v>0</v>
      </c>
      <c r="AM20" s="14">
        <f t="shared" si="7"/>
        <v>0</v>
      </c>
      <c r="AN20" s="14">
        <f t="shared" si="7"/>
        <v>0</v>
      </c>
      <c r="AO20" s="14">
        <f t="shared" si="7"/>
        <v>0</v>
      </c>
      <c r="AP20" s="14">
        <f t="shared" si="7"/>
        <v>0</v>
      </c>
      <c r="AQ20" s="14">
        <f t="shared" si="7"/>
        <v>0</v>
      </c>
      <c r="AR20" s="14">
        <f t="shared" si="7"/>
        <v>0</v>
      </c>
      <c r="AS20" s="40">
        <f t="shared" si="7"/>
        <v>0</v>
      </c>
    </row>
    <row r="21" spans="1:45" x14ac:dyDescent="0.2">
      <c r="A21" s="19"/>
      <c r="B21" s="34"/>
      <c r="C21" s="34"/>
      <c r="D21" s="3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40"/>
    </row>
    <row r="22" spans="1:45" x14ac:dyDescent="0.2">
      <c r="A22" s="34"/>
      <c r="B22" s="112" t="s">
        <v>100</v>
      </c>
      <c r="C22" s="34" t="s">
        <v>1</v>
      </c>
      <c r="D22" s="34"/>
      <c r="E22" s="14"/>
      <c r="F22" s="14">
        <f>F15+F17+F18</f>
        <v>-5522082.395468805</v>
      </c>
      <c r="G22" s="14">
        <f t="shared" ref="G22:AS22" si="8">G15+G17+G18</f>
        <v>-5483390.1060731504</v>
      </c>
      <c r="H22" s="14">
        <f t="shared" si="8"/>
        <v>-5442376.2793137562</v>
      </c>
      <c r="I22" s="14">
        <f t="shared" si="8"/>
        <v>-5398901.6229487993</v>
      </c>
      <c r="J22" s="14">
        <f t="shared" si="8"/>
        <v>-5952818.4872019449</v>
      </c>
      <c r="K22" s="14">
        <f t="shared" si="8"/>
        <v>-5303970.3633102784</v>
      </c>
      <c r="L22" s="14">
        <f t="shared" si="8"/>
        <v>-5252191.3519851128</v>
      </c>
      <c r="M22" s="14">
        <f t="shared" si="8"/>
        <v>-5197305.5999804363</v>
      </c>
      <c r="N22" s="14">
        <f t="shared" si="8"/>
        <v>-5139126.7028554799</v>
      </c>
      <c r="O22" s="14">
        <f t="shared" si="8"/>
        <v>-5677457.0719030257</v>
      </c>
      <c r="P22" s="14">
        <f t="shared" si="8"/>
        <v>-5012087.263093425</v>
      </c>
      <c r="Q22" s="14">
        <f t="shared" si="8"/>
        <v>-4942795.2657552473</v>
      </c>
      <c r="R22" s="14">
        <f t="shared" si="8"/>
        <v>-4869345.7485767789</v>
      </c>
      <c r="S22" s="14">
        <f t="shared" si="8"/>
        <v>-4791489.260367604</v>
      </c>
      <c r="T22" s="14">
        <f t="shared" si="8"/>
        <v>-5308961.382865876</v>
      </c>
      <c r="U22" s="14">
        <f t="shared" si="8"/>
        <v>-4621481.8327140464</v>
      </c>
      <c r="V22" s="14">
        <f t="shared" si="8"/>
        <v>-4528753.5095531065</v>
      </c>
      <c r="W22" s="14">
        <f t="shared" si="8"/>
        <v>-4430461.4870025106</v>
      </c>
      <c r="X22" s="14">
        <f t="shared" si="8"/>
        <v>-4326271.9430988776</v>
      </c>
      <c r="Y22" s="14">
        <f t="shared" si="8"/>
        <v>-4815831.0265610274</v>
      </c>
      <c r="Z22" s="14">
        <f t="shared" si="8"/>
        <v>-4098763.6550309062</v>
      </c>
      <c r="AA22" s="14">
        <f t="shared" si="8"/>
        <v>-3974672.241208978</v>
      </c>
      <c r="AB22" s="14">
        <f t="shared" si="8"/>
        <v>-3843135.3425577339</v>
      </c>
      <c r="AC22" s="14">
        <f t="shared" si="8"/>
        <v>-3703706.2299874155</v>
      </c>
      <c r="AD22" s="14">
        <f t="shared" si="8"/>
        <v>-4155911.3706628773</v>
      </c>
      <c r="AE22" s="14">
        <f t="shared" si="8"/>
        <v>-3399248.8197788671</v>
      </c>
      <c r="AF22" s="14">
        <f t="shared" si="8"/>
        <v>-3233186.5158418166</v>
      </c>
      <c r="AG22" s="14">
        <f t="shared" si="8"/>
        <v>-3057160.4736685427</v>
      </c>
      <c r="AH22" s="14">
        <f t="shared" si="8"/>
        <v>-2870572.8689648723</v>
      </c>
      <c r="AI22" s="14">
        <f t="shared" si="8"/>
        <v>-3272790.0079789818</v>
      </c>
      <c r="AJ22" s="14">
        <f t="shared" si="8"/>
        <v>0</v>
      </c>
      <c r="AK22" s="14">
        <f t="shared" si="8"/>
        <v>0</v>
      </c>
      <c r="AL22" s="14">
        <f t="shared" si="8"/>
        <v>0</v>
      </c>
      <c r="AM22" s="14">
        <f t="shared" si="8"/>
        <v>0</v>
      </c>
      <c r="AN22" s="14">
        <f t="shared" si="8"/>
        <v>0</v>
      </c>
      <c r="AO22" s="14">
        <f t="shared" si="8"/>
        <v>0</v>
      </c>
      <c r="AP22" s="14">
        <f t="shared" si="8"/>
        <v>0</v>
      </c>
      <c r="AQ22" s="14">
        <f t="shared" si="8"/>
        <v>0</v>
      </c>
      <c r="AR22" s="14">
        <f t="shared" si="8"/>
        <v>0</v>
      </c>
      <c r="AS22" s="40">
        <f t="shared" si="8"/>
        <v>0</v>
      </c>
    </row>
    <row r="23" spans="1:45" x14ac:dyDescent="0.2">
      <c r="A23" s="34"/>
      <c r="B23" s="112" t="s">
        <v>99</v>
      </c>
      <c r="C23" s="166" t="s">
        <v>1</v>
      </c>
      <c r="D23" s="34"/>
      <c r="E23" s="14"/>
      <c r="F23" s="14">
        <f t="shared" ref="F23:AS23" si="9">-tax*F22</f>
        <v>1380520.5988672012</v>
      </c>
      <c r="G23" s="14">
        <f t="shared" si="9"/>
        <v>1370847.5265182876</v>
      </c>
      <c r="H23" s="14">
        <f t="shared" si="9"/>
        <v>1360594.069828439</v>
      </c>
      <c r="I23" s="14">
        <f t="shared" si="9"/>
        <v>1349725.4057371998</v>
      </c>
      <c r="J23" s="14">
        <f t="shared" si="9"/>
        <v>1488204.6218004862</v>
      </c>
      <c r="K23" s="14">
        <f t="shared" si="9"/>
        <v>1325992.5908275696</v>
      </c>
      <c r="L23" s="14">
        <f t="shared" si="9"/>
        <v>1313047.8379962782</v>
      </c>
      <c r="M23" s="14">
        <f t="shared" si="9"/>
        <v>1299326.3999951091</v>
      </c>
      <c r="N23" s="14">
        <f t="shared" si="9"/>
        <v>1284781.67571387</v>
      </c>
      <c r="O23" s="14">
        <f t="shared" si="9"/>
        <v>1419364.2679757564</v>
      </c>
      <c r="P23" s="14">
        <f t="shared" si="9"/>
        <v>1253021.8157733562</v>
      </c>
      <c r="Q23" s="14">
        <f t="shared" si="9"/>
        <v>1235698.8164388118</v>
      </c>
      <c r="R23" s="14">
        <f t="shared" si="9"/>
        <v>1217336.4371441947</v>
      </c>
      <c r="S23" s="14">
        <f t="shared" si="9"/>
        <v>1197872.315091901</v>
      </c>
      <c r="T23" s="14">
        <f t="shared" si="9"/>
        <v>1327240.345716469</v>
      </c>
      <c r="U23" s="14">
        <f t="shared" si="9"/>
        <v>1155370.4581785116</v>
      </c>
      <c r="V23" s="14">
        <f t="shared" si="9"/>
        <v>1132188.3773882766</v>
      </c>
      <c r="W23" s="14">
        <f t="shared" si="9"/>
        <v>1107615.3717506276</v>
      </c>
      <c r="X23" s="14">
        <f t="shared" si="9"/>
        <v>1081567.9857747194</v>
      </c>
      <c r="Y23" s="14">
        <f t="shared" si="9"/>
        <v>1203957.7566402568</v>
      </c>
      <c r="Z23" s="14">
        <f t="shared" si="9"/>
        <v>1024690.9137577266</v>
      </c>
      <c r="AA23" s="14">
        <f t="shared" si="9"/>
        <v>993668.0603022445</v>
      </c>
      <c r="AB23" s="14">
        <f t="shared" si="9"/>
        <v>960783.83563943347</v>
      </c>
      <c r="AC23" s="14">
        <f t="shared" si="9"/>
        <v>925926.55749685387</v>
      </c>
      <c r="AD23" s="14">
        <f t="shared" si="9"/>
        <v>1038977.8426657193</v>
      </c>
      <c r="AE23" s="14">
        <f t="shared" si="9"/>
        <v>849812.20494471677</v>
      </c>
      <c r="AF23" s="14">
        <f t="shared" si="9"/>
        <v>808296.62896045414</v>
      </c>
      <c r="AG23" s="14">
        <f t="shared" si="9"/>
        <v>764290.11841713567</v>
      </c>
      <c r="AH23" s="14">
        <f t="shared" si="9"/>
        <v>717643.21724121808</v>
      </c>
      <c r="AI23" s="14">
        <f t="shared" si="9"/>
        <v>818197.50199474546</v>
      </c>
      <c r="AJ23" s="14">
        <f t="shared" si="9"/>
        <v>0</v>
      </c>
      <c r="AK23" s="14">
        <f t="shared" si="9"/>
        <v>0</v>
      </c>
      <c r="AL23" s="14">
        <f t="shared" si="9"/>
        <v>0</v>
      </c>
      <c r="AM23" s="14">
        <f t="shared" si="9"/>
        <v>0</v>
      </c>
      <c r="AN23" s="14">
        <f t="shared" si="9"/>
        <v>0</v>
      </c>
      <c r="AO23" s="14">
        <f t="shared" si="9"/>
        <v>0</v>
      </c>
      <c r="AP23" s="14">
        <f t="shared" si="9"/>
        <v>0</v>
      </c>
      <c r="AQ23" s="14">
        <f t="shared" si="9"/>
        <v>0</v>
      </c>
      <c r="AR23" s="14">
        <f t="shared" si="9"/>
        <v>0</v>
      </c>
      <c r="AS23" s="40">
        <f t="shared" si="9"/>
        <v>0</v>
      </c>
    </row>
    <row r="24" spans="1:45" x14ac:dyDescent="0.2">
      <c r="A24" s="19"/>
      <c r="B24" s="34"/>
      <c r="C24" s="34"/>
      <c r="D24" s="3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40"/>
    </row>
    <row r="25" spans="1:45" x14ac:dyDescent="0.2">
      <c r="A25" s="41"/>
      <c r="B25" s="41" t="s">
        <v>101</v>
      </c>
      <c r="C25" s="41" t="s">
        <v>1</v>
      </c>
      <c r="D25" s="41"/>
      <c r="E25" s="43"/>
      <c r="F25" s="43">
        <f>F15+F20+F23</f>
        <v>-2662167.8558799657</v>
      </c>
      <c r="G25" s="43">
        <f t="shared" ref="G25:AS25" si="10">G15+G20+G23</f>
        <v>-2671840.9282288793</v>
      </c>
      <c r="H25" s="43">
        <f t="shared" si="10"/>
        <v>-2682094.3849187274</v>
      </c>
      <c r="I25" s="43">
        <f t="shared" si="10"/>
        <v>-2692963.0490099667</v>
      </c>
      <c r="J25" s="43">
        <f t="shared" si="10"/>
        <v>-3154483.8329466805</v>
      </c>
      <c r="K25" s="43">
        <f t="shared" si="10"/>
        <v>-2716695.8639195971</v>
      </c>
      <c r="L25" s="43">
        <f t="shared" si="10"/>
        <v>-2729640.6167508885</v>
      </c>
      <c r="M25" s="43">
        <f t="shared" si="10"/>
        <v>-2743362.0547520579</v>
      </c>
      <c r="N25" s="43">
        <f t="shared" si="10"/>
        <v>-2757906.7790332967</v>
      </c>
      <c r="O25" s="43">
        <f t="shared" si="10"/>
        <v>-3223324.1867714101</v>
      </c>
      <c r="P25" s="43">
        <f t="shared" si="10"/>
        <v>-2789666.6389738102</v>
      </c>
      <c r="Q25" s="43">
        <f t="shared" si="10"/>
        <v>-2806989.6383083542</v>
      </c>
      <c r="R25" s="43">
        <f t="shared" si="10"/>
        <v>-2825352.0176029722</v>
      </c>
      <c r="S25" s="43">
        <f t="shared" si="10"/>
        <v>-2844816.1396552664</v>
      </c>
      <c r="T25" s="43">
        <f t="shared" si="10"/>
        <v>-3315448.1090306975</v>
      </c>
      <c r="U25" s="43">
        <f t="shared" si="10"/>
        <v>-2887317.9965686556</v>
      </c>
      <c r="V25" s="43">
        <f t="shared" si="10"/>
        <v>-2910500.0773588899</v>
      </c>
      <c r="W25" s="43">
        <f t="shared" si="10"/>
        <v>-2935073.0829965393</v>
      </c>
      <c r="X25" s="43">
        <f t="shared" si="10"/>
        <v>-2961120.4689724473</v>
      </c>
      <c r="Y25" s="43">
        <f t="shared" si="10"/>
        <v>-3438730.6981069096</v>
      </c>
      <c r="Z25" s="43">
        <f t="shared" si="10"/>
        <v>-3017997.5409894399</v>
      </c>
      <c r="AA25" s="43">
        <f t="shared" si="10"/>
        <v>-3049020.3944449225</v>
      </c>
      <c r="AB25" s="43">
        <f t="shared" si="10"/>
        <v>-3081904.619107733</v>
      </c>
      <c r="AC25" s="43">
        <f t="shared" si="10"/>
        <v>-3116761.8972503133</v>
      </c>
      <c r="AD25" s="43">
        <f t="shared" si="10"/>
        <v>-3603710.6120814472</v>
      </c>
      <c r="AE25" s="43">
        <f t="shared" si="10"/>
        <v>-3192876.2498024502</v>
      </c>
      <c r="AF25" s="43">
        <f t="shared" si="10"/>
        <v>-3234391.8257867126</v>
      </c>
      <c r="AG25" s="43">
        <f t="shared" si="10"/>
        <v>-3278398.336330031</v>
      </c>
      <c r="AH25" s="43">
        <f t="shared" si="10"/>
        <v>-3325045.2375059491</v>
      </c>
      <c r="AI25" s="43">
        <f t="shared" si="10"/>
        <v>-3824490.9527524211</v>
      </c>
      <c r="AJ25" s="43">
        <f t="shared" si="10"/>
        <v>0</v>
      </c>
      <c r="AK25" s="43">
        <f t="shared" si="10"/>
        <v>0</v>
      </c>
      <c r="AL25" s="43">
        <f t="shared" si="10"/>
        <v>0</v>
      </c>
      <c r="AM25" s="43">
        <f t="shared" si="10"/>
        <v>0</v>
      </c>
      <c r="AN25" s="43">
        <f t="shared" si="10"/>
        <v>0</v>
      </c>
      <c r="AO25" s="43">
        <f t="shared" si="10"/>
        <v>0</v>
      </c>
      <c r="AP25" s="43">
        <f t="shared" si="10"/>
        <v>0</v>
      </c>
      <c r="AQ25" s="43">
        <f t="shared" si="10"/>
        <v>0</v>
      </c>
      <c r="AR25" s="43">
        <f t="shared" si="10"/>
        <v>0</v>
      </c>
      <c r="AS25" s="44">
        <f t="shared" si="10"/>
        <v>0</v>
      </c>
    </row>
    <row r="26" spans="1:45" x14ac:dyDescent="0.2">
      <c r="A26" s="15"/>
      <c r="B26" s="16"/>
      <c r="C26" s="16"/>
      <c r="D26" s="12"/>
      <c r="E26" s="17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06"/>
    </row>
    <row r="27" spans="1:45" x14ac:dyDescent="0.2">
      <c r="A27" s="36"/>
      <c r="B27" s="112" t="s">
        <v>35</v>
      </c>
      <c r="C27" s="34" t="s">
        <v>0</v>
      </c>
      <c r="D27" s="79">
        <f>NPV(Input_Output!$D$56,F25:AS25)</f>
        <v>-18495337.12726818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40"/>
    </row>
    <row r="28" spans="1:45" x14ac:dyDescent="0.2">
      <c r="A28" s="31"/>
      <c r="B28" s="136" t="s">
        <v>36</v>
      </c>
      <c r="C28" s="136" t="s">
        <v>125</v>
      </c>
      <c r="D28" s="80">
        <f>NPV(Input_Output!$D$56,F28:AS28)</f>
        <v>0</v>
      </c>
      <c r="E28" s="37"/>
      <c r="F28" s="37">
        <f t="shared" ref="F28:AS28" si="11">(1-tax)*F8</f>
        <v>0</v>
      </c>
      <c r="G28" s="37">
        <f t="shared" si="11"/>
        <v>0</v>
      </c>
      <c r="H28" s="37">
        <f t="shared" si="11"/>
        <v>0</v>
      </c>
      <c r="I28" s="37">
        <f t="shared" si="11"/>
        <v>0</v>
      </c>
      <c r="J28" s="37">
        <f t="shared" si="11"/>
        <v>0</v>
      </c>
      <c r="K28" s="37">
        <f t="shared" si="11"/>
        <v>0</v>
      </c>
      <c r="L28" s="37">
        <f t="shared" si="11"/>
        <v>0</v>
      </c>
      <c r="M28" s="37">
        <f t="shared" si="11"/>
        <v>0</v>
      </c>
      <c r="N28" s="37">
        <f t="shared" si="11"/>
        <v>0</v>
      </c>
      <c r="O28" s="37">
        <f t="shared" si="11"/>
        <v>0</v>
      </c>
      <c r="P28" s="37">
        <f t="shared" si="11"/>
        <v>0</v>
      </c>
      <c r="Q28" s="37">
        <f t="shared" si="11"/>
        <v>0</v>
      </c>
      <c r="R28" s="37">
        <f t="shared" si="11"/>
        <v>0</v>
      </c>
      <c r="S28" s="37">
        <f t="shared" si="11"/>
        <v>0</v>
      </c>
      <c r="T28" s="37">
        <f t="shared" si="11"/>
        <v>0</v>
      </c>
      <c r="U28" s="37">
        <f t="shared" si="11"/>
        <v>0</v>
      </c>
      <c r="V28" s="37">
        <f t="shared" si="11"/>
        <v>0</v>
      </c>
      <c r="W28" s="37">
        <f t="shared" si="11"/>
        <v>0</v>
      </c>
      <c r="X28" s="37">
        <f t="shared" si="11"/>
        <v>0</v>
      </c>
      <c r="Y28" s="37">
        <f t="shared" si="11"/>
        <v>0</v>
      </c>
      <c r="Z28" s="37">
        <f t="shared" si="11"/>
        <v>0</v>
      </c>
      <c r="AA28" s="37">
        <f t="shared" si="11"/>
        <v>0</v>
      </c>
      <c r="AB28" s="37">
        <f t="shared" si="11"/>
        <v>0</v>
      </c>
      <c r="AC28" s="37">
        <f t="shared" si="11"/>
        <v>0</v>
      </c>
      <c r="AD28" s="37">
        <f t="shared" si="11"/>
        <v>0</v>
      </c>
      <c r="AE28" s="37">
        <f t="shared" si="11"/>
        <v>0</v>
      </c>
      <c r="AF28" s="37">
        <f t="shared" si="11"/>
        <v>0</v>
      </c>
      <c r="AG28" s="37">
        <f t="shared" si="11"/>
        <v>0</v>
      </c>
      <c r="AH28" s="37">
        <f t="shared" si="11"/>
        <v>0</v>
      </c>
      <c r="AI28" s="37">
        <f t="shared" si="11"/>
        <v>0</v>
      </c>
      <c r="AJ28" s="37">
        <f t="shared" si="11"/>
        <v>0</v>
      </c>
      <c r="AK28" s="37">
        <f t="shared" si="11"/>
        <v>0</v>
      </c>
      <c r="AL28" s="37">
        <f t="shared" si="11"/>
        <v>0</v>
      </c>
      <c r="AM28" s="37">
        <f t="shared" si="11"/>
        <v>0</v>
      </c>
      <c r="AN28" s="37">
        <f t="shared" si="11"/>
        <v>0</v>
      </c>
      <c r="AO28" s="37">
        <f t="shared" si="11"/>
        <v>0</v>
      </c>
      <c r="AP28" s="37">
        <f t="shared" si="11"/>
        <v>0</v>
      </c>
      <c r="AQ28" s="37">
        <f t="shared" si="11"/>
        <v>0</v>
      </c>
      <c r="AR28" s="37">
        <f t="shared" si="11"/>
        <v>0</v>
      </c>
      <c r="AS28" s="37">
        <f t="shared" si="11"/>
        <v>0</v>
      </c>
    </row>
    <row r="30" spans="1:45" x14ac:dyDescent="0.2">
      <c r="B30" s="128" t="s">
        <v>37</v>
      </c>
      <c r="C30" s="26">
        <f>(capex_subsurface+capex_power+heat_capex)*1000000</f>
        <v>63727962.919476405</v>
      </c>
      <c r="D30" s="27" t="s">
        <v>1</v>
      </c>
      <c r="E30" s="13"/>
      <c r="AJ30" s="5"/>
      <c r="AK30" s="5"/>
      <c r="AL30" s="5"/>
      <c r="AM30" s="5"/>
      <c r="AN30" s="5"/>
      <c r="AO30" s="5"/>
      <c r="AP30" s="5"/>
      <c r="AQ30" s="5"/>
      <c r="AR30" s="5"/>
      <c r="AS30" s="5"/>
    </row>
    <row r="31" spans="1:45" x14ac:dyDescent="0.2">
      <c r="B31" s="137" t="s">
        <v>38</v>
      </c>
      <c r="C31" s="28">
        <f>(1-tax)*loan_rate*debt_share+equity_share*equity_return</f>
        <v>6.6000000000000003E-2</v>
      </c>
      <c r="D31" s="29"/>
      <c r="E31" s="3"/>
      <c r="G31" s="51"/>
    </row>
    <row r="32" spans="1:45" x14ac:dyDescent="0.2">
      <c r="B32" s="167" t="s">
        <v>77</v>
      </c>
      <c r="C32" s="168">
        <f>C30</f>
        <v>63727962.919476405</v>
      </c>
      <c r="D32" s="169" t="s">
        <v>1</v>
      </c>
      <c r="E32" s="6"/>
      <c r="G32" s="51"/>
    </row>
    <row r="33" spans="2:8" s="2" customFormat="1" x14ac:dyDescent="0.2">
      <c r="B33" s="167" t="s">
        <v>75</v>
      </c>
      <c r="C33" s="168">
        <f>IF(fiscal_stimulus="yes",IF(stimulus_perc*C32&gt;stimulus_max*1000000,stimulus_max*1000000,stimulus_perc*C32),0)</f>
        <v>0</v>
      </c>
      <c r="D33" s="169" t="s">
        <v>1</v>
      </c>
      <c r="E33"/>
      <c r="F33" s="115"/>
      <c r="G33"/>
      <c r="H33"/>
    </row>
    <row r="34" spans="2:8" s="2" customFormat="1" x14ac:dyDescent="0.2">
      <c r="B34" s="167" t="s">
        <v>76</v>
      </c>
      <c r="C34" s="168">
        <f>(C33*tax)/(1+CFpower!C31)</f>
        <v>0</v>
      </c>
      <c r="D34" s="169" t="s">
        <v>1</v>
      </c>
      <c r="E34"/>
      <c r="F34" s="116"/>
      <c r="G34" s="52"/>
      <c r="H34" s="9"/>
    </row>
    <row r="35" spans="2:8" s="2" customFormat="1" x14ac:dyDescent="0.2">
      <c r="B35" s="138" t="s">
        <v>39</v>
      </c>
      <c r="C35" s="14">
        <f>C30*debt_share-C34</f>
        <v>50982370.335581124</v>
      </c>
      <c r="D35" s="29" t="s">
        <v>1</v>
      </c>
      <c r="E35" s="3"/>
      <c r="F35" s="1"/>
      <c r="G35" s="1"/>
      <c r="H35" s="1"/>
    </row>
    <row r="36" spans="2:8" s="2" customFormat="1" x14ac:dyDescent="0.2">
      <c r="B36" s="139" t="s">
        <v>40</v>
      </c>
      <c r="C36" s="30">
        <f>equity_share*C30</f>
        <v>12745592.583895281</v>
      </c>
      <c r="D36" s="31" t="s">
        <v>1</v>
      </c>
      <c r="E36" s="3"/>
      <c r="F36" s="1"/>
      <c r="G36" s="1"/>
      <c r="H36" s="1"/>
    </row>
    <row r="37" spans="2:8" s="2" customFormat="1" x14ac:dyDescent="0.2">
      <c r="B37" s="3"/>
      <c r="C37" s="3"/>
      <c r="D37" s="3"/>
      <c r="E37" s="3"/>
      <c r="F37" s="1"/>
      <c r="G37" s="1"/>
      <c r="H37" s="1"/>
    </row>
    <row r="38" spans="2:8" s="2" customFormat="1" x14ac:dyDescent="0.2">
      <c r="B38" s="3"/>
      <c r="C38" s="54"/>
      <c r="D38" s="3"/>
      <c r="E38" s="3"/>
      <c r="F38" s="1"/>
      <c r="G38" s="1"/>
      <c r="H38" s="1"/>
    </row>
    <row r="39" spans="2:8" s="2" customFormat="1" x14ac:dyDescent="0.2">
      <c r="B39" s="3"/>
      <c r="C39" s="3"/>
      <c r="D39" s="3"/>
      <c r="E39" s="3"/>
      <c r="F39" s="1"/>
      <c r="G39" s="53"/>
      <c r="H39" s="1"/>
    </row>
    <row r="40" spans="2:8" s="2" customFormat="1" x14ac:dyDescent="0.2">
      <c r="B40" s="3"/>
      <c r="C40" s="3"/>
      <c r="D40" s="3"/>
      <c r="E40" s="3"/>
      <c r="F40" s="1"/>
      <c r="G40" s="1"/>
      <c r="H40" s="1"/>
    </row>
    <row r="41" spans="2:8" s="2" customFormat="1" x14ac:dyDescent="0.2">
      <c r="B41" s="3"/>
      <c r="C41" s="3"/>
      <c r="D41" s="3"/>
      <c r="E41" s="3"/>
      <c r="F41" s="1"/>
      <c r="G41" s="53"/>
      <c r="H41" s="1"/>
    </row>
    <row r="42" spans="2:8" s="2" customFormat="1" x14ac:dyDescent="0.2">
      <c r="B42" s="3"/>
      <c r="C42" s="3"/>
      <c r="D42" s="3"/>
      <c r="E42" s="3"/>
      <c r="F42" s="1"/>
      <c r="G42" s="1"/>
      <c r="H42" s="1"/>
    </row>
    <row r="43" spans="2:8" s="2" customFormat="1" x14ac:dyDescent="0.2">
      <c r="B43" s="3"/>
      <c r="C43" s="3"/>
      <c r="D43" s="3"/>
      <c r="E43" s="3"/>
      <c r="F43" s="1"/>
      <c r="G43" s="1"/>
      <c r="H43" s="1"/>
    </row>
    <row r="44" spans="2:8" s="2" customFormat="1" x14ac:dyDescent="0.2">
      <c r="B44" s="3"/>
      <c r="C44" s="3"/>
      <c r="D44" s="3"/>
      <c r="E44" s="3"/>
      <c r="F44" s="1"/>
      <c r="G44" s="1"/>
      <c r="H44" s="1"/>
    </row>
    <row r="45" spans="2:8" s="2" customFormat="1" x14ac:dyDescent="0.2">
      <c r="B45" s="3"/>
      <c r="C45" s="3"/>
      <c r="D45" s="3"/>
      <c r="E45" s="3"/>
      <c r="F45" s="1"/>
      <c r="G45" s="1"/>
      <c r="H45" s="1"/>
    </row>
    <row r="46" spans="2:8" s="2" customFormat="1" x14ac:dyDescent="0.2">
      <c r="B46" s="3"/>
      <c r="C46" s="3"/>
      <c r="D46" s="3"/>
      <c r="E46" s="3"/>
      <c r="F46" s="1"/>
      <c r="G46" s="1"/>
      <c r="H46" s="1"/>
    </row>
    <row r="47" spans="2:8" s="2" customFormat="1" x14ac:dyDescent="0.2">
      <c r="B47" s="3"/>
      <c r="C47" s="3"/>
      <c r="D47" s="3"/>
      <c r="E47" s="3"/>
      <c r="F47" s="1"/>
      <c r="G47" s="1"/>
      <c r="H47" s="1"/>
    </row>
    <row r="48" spans="2:8" s="2" customFormat="1" x14ac:dyDescent="0.2">
      <c r="B48" s="3"/>
      <c r="C48" s="3"/>
      <c r="D48" s="3"/>
      <c r="E48" s="3"/>
      <c r="F48" s="1"/>
      <c r="G48" s="1"/>
      <c r="H48" s="1"/>
    </row>
    <row r="49" spans="5:5" s="2" customFormat="1" x14ac:dyDescent="0.2">
      <c r="E4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59</vt:i4>
      </vt:variant>
    </vt:vector>
  </HeadingPairs>
  <TitlesOfParts>
    <vt:vector size="63" baseType="lpstr">
      <vt:lpstr>Colofon</vt:lpstr>
      <vt:lpstr>Input_Output</vt:lpstr>
      <vt:lpstr>CFpower</vt:lpstr>
      <vt:lpstr>CFheat</vt:lpstr>
      <vt:lpstr>capex_power</vt:lpstr>
      <vt:lpstr>capex_subsurface</vt:lpstr>
      <vt:lpstr>coheat_feedin</vt:lpstr>
      <vt:lpstr>coheatloadhours</vt:lpstr>
      <vt:lpstr>cop</vt:lpstr>
      <vt:lpstr>Cprock</vt:lpstr>
      <vt:lpstr>Cpwater</vt:lpstr>
      <vt:lpstr>debt_share</vt:lpstr>
      <vt:lpstr>depreciation_time</vt:lpstr>
      <vt:lpstr>depth</vt:lpstr>
      <vt:lpstr>DistanceToGrid</vt:lpstr>
      <vt:lpstr>DrillCosts</vt:lpstr>
      <vt:lpstr>Efficiency</vt:lpstr>
      <vt:lpstr>efficiencydirectheat</vt:lpstr>
      <vt:lpstr>electricity_buy</vt:lpstr>
      <vt:lpstr>equity_return</vt:lpstr>
      <vt:lpstr>equity_share</vt:lpstr>
      <vt:lpstr>fiscal_benefit</vt:lpstr>
      <vt:lpstr>fiscal_stimulus</vt:lpstr>
      <vt:lpstr>fixedOMrate</vt:lpstr>
      <vt:lpstr>flowrate</vt:lpstr>
      <vt:lpstr>GridConVar</vt:lpstr>
      <vt:lpstr>GridInvest</vt:lpstr>
      <vt:lpstr>heat_capex</vt:lpstr>
      <vt:lpstr>heat_mwth</vt:lpstr>
      <vt:lpstr>heat_OMfixed</vt:lpstr>
      <vt:lpstr>heat_OMvar</vt:lpstr>
      <vt:lpstr>heat_power</vt:lpstr>
      <vt:lpstr>inflation</vt:lpstr>
      <vt:lpstr>lifetime</vt:lpstr>
      <vt:lpstr>loan_rate</vt:lpstr>
      <vt:lpstr>nrofwells</vt:lpstr>
      <vt:lpstr>ooperation_choice</vt:lpstr>
      <vt:lpstr>PlantInvest</vt:lpstr>
      <vt:lpstr>Power</vt:lpstr>
      <vt:lpstr>power_feedin</vt:lpstr>
      <vt:lpstr>power_loadhours</vt:lpstr>
      <vt:lpstr>power_OMfixed</vt:lpstr>
      <vt:lpstr>power_OMvar</vt:lpstr>
      <vt:lpstr>Input_Output!Print_Area</vt:lpstr>
      <vt:lpstr>CFpower!Print_Titles</vt:lpstr>
      <vt:lpstr>pumpcost2</vt:lpstr>
      <vt:lpstr>pumps</vt:lpstr>
      <vt:lpstr>Rhorock</vt:lpstr>
      <vt:lpstr>Rhowater</vt:lpstr>
      <vt:lpstr>StimCosts</vt:lpstr>
      <vt:lpstr>stimulus_max</vt:lpstr>
      <vt:lpstr>stimulus_perc</vt:lpstr>
      <vt:lpstr>tax</vt:lpstr>
      <vt:lpstr>Tbase</vt:lpstr>
      <vt:lpstr>term_loan</vt:lpstr>
      <vt:lpstr>thermalpower_power</vt:lpstr>
      <vt:lpstr>toutlet</vt:lpstr>
      <vt:lpstr>Treinject</vt:lpstr>
      <vt:lpstr>Ts</vt:lpstr>
      <vt:lpstr>Tx</vt:lpstr>
      <vt:lpstr>variable_OM_pumps</vt:lpstr>
      <vt:lpstr>well_pump</vt:lpstr>
      <vt:lpstr>wellcostscaling</vt:lpstr>
    </vt:vector>
  </TitlesOfParts>
  <Company>ECN Beleidsstudies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X. van Tilburg</dc:creator>
  <cp:lastModifiedBy>JanDiederik van Wees</cp:lastModifiedBy>
  <cp:lastPrinted>2012-07-11T09:23:41Z</cp:lastPrinted>
  <dcterms:created xsi:type="dcterms:W3CDTF">2003-03-17T12:29:30Z</dcterms:created>
  <dcterms:modified xsi:type="dcterms:W3CDTF">2013-04-16T07:41:15Z</dcterms:modified>
</cp:coreProperties>
</file>